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4035" windowWidth="8820" windowHeight="4995" tabRatio="855"/>
  </bookViews>
  <sheets>
    <sheet name="Front Page" sheetId="5" r:id="rId1"/>
    <sheet name=" Financial Highlights" sheetId="1" r:id="rId2"/>
    <sheet name="Balance Sheet" sheetId="2" r:id="rId3"/>
    <sheet name="Cashflow" sheetId="3" r:id="rId4"/>
    <sheet name="Segment Data" sheetId="4" r:id="rId5"/>
    <sheet name="Valuation" sheetId="6" r:id="rId6"/>
    <sheet name="EBITDA udvikling" sheetId="7" r:id="rId7"/>
  </sheets>
  <definedNames>
    <definedName name="_xlnm.Print_Area" localSheetId="1">' Financial Highlights'!$BK$4:$CA$47</definedName>
    <definedName name="_xlnm.Print_Area" localSheetId="2">'Balance Sheet'!$BA$4:$BN$42</definedName>
    <definedName name="_xlnm.Print_Area" localSheetId="3">Cashflow!$BK$5:$CA$33</definedName>
    <definedName name="_xlnm.Print_Area" localSheetId="6">'EBITDA udvikling'!$AP$15:$BA$39</definedName>
    <definedName name="_xlnm.Print_Area" localSheetId="0">'Front Page'!$A$1:$M$25</definedName>
    <definedName name="_xlnm.Print_Area" localSheetId="4">'Segment Data'!$BK$4:$CA$75</definedName>
    <definedName name="_xlnm.Print_Area" localSheetId="5">Valuation!$BE$4:$BU$38</definedName>
    <definedName name="_xlnm.Print_Titles" localSheetId="1">' Financial Highlights'!$A:$B,' Financial Highlights'!$1:$3</definedName>
    <definedName name="_xlnm.Print_Titles" localSheetId="2">'Balance Sheet'!$A:$B,'Balance Sheet'!$1:$3</definedName>
    <definedName name="_xlnm.Print_Titles" localSheetId="3">Cashflow!$A:$B,Cashflow!$1:$4</definedName>
    <definedName name="_xlnm.Print_Titles" localSheetId="6">'EBITDA udvikling'!$A:$A</definedName>
    <definedName name="_xlnm.Print_Titles" localSheetId="4">'Segment Data'!$A:$B,'Segment Data'!$1:$3</definedName>
    <definedName name="_xlnm.Print_Titles" localSheetId="5">Valuation!$A:$B,Valuation!$1:$3</definedName>
  </definedNames>
  <calcPr calcId="125725"/>
</workbook>
</file>

<file path=xl/calcChain.xml><?xml version="1.0" encoding="utf-8"?>
<calcChain xmlns="http://schemas.openxmlformats.org/spreadsheetml/2006/main">
  <c r="BA11" i="7"/>
  <c r="AZ11"/>
  <c r="AW11"/>
  <c r="AV11"/>
  <c r="AU11"/>
  <c r="AR11"/>
  <c r="AQ11"/>
  <c r="AP11"/>
  <c r="AM11"/>
  <c r="AL11"/>
  <c r="AK11"/>
  <c r="AH11"/>
  <c r="AG11"/>
  <c r="AF11"/>
  <c r="BQ29" i="6"/>
  <c r="BR29"/>
  <c r="BR16"/>
  <c r="BL23" i="2"/>
  <c r="CA28" i="3" l="1"/>
  <c r="BX71" i="4"/>
  <c r="BX70"/>
  <c r="BX32"/>
  <c r="BX31"/>
  <c r="BX30"/>
  <c r="BK40" i="2"/>
  <c r="BW71" i="4"/>
  <c r="BK29" i="6"/>
  <c r="BT10"/>
  <c r="BT17"/>
  <c r="BS10"/>
  <c r="BS17"/>
  <c r="BR10"/>
  <c r="BR14" s="1"/>
  <c r="BR17" s="1"/>
  <c r="BQ10"/>
  <c r="BQ14" s="1"/>
  <c r="BQ17" s="1"/>
  <c r="BW70" i="4"/>
  <c r="BZ68"/>
  <c r="BY68"/>
  <c r="BX68"/>
  <c r="BW68"/>
  <c r="BZ58"/>
  <c r="BY58"/>
  <c r="BX58"/>
  <c r="BW58"/>
  <c r="CA57"/>
  <c r="CA56"/>
  <c r="CA55"/>
  <c r="CA54"/>
  <c r="CA53"/>
  <c r="CA52"/>
  <c r="CA51"/>
  <c r="BW32"/>
  <c r="BW31"/>
  <c r="BW30"/>
  <c r="BZ28"/>
  <c r="BY28"/>
  <c r="BX28"/>
  <c r="BW28"/>
  <c r="BQ19" i="6" s="1"/>
  <c r="BQ26" s="1"/>
  <c r="CA27" i="4"/>
  <c r="CA26"/>
  <c r="CA25"/>
  <c r="CA24"/>
  <c r="CA23"/>
  <c r="CA22"/>
  <c r="CA21"/>
  <c r="CA16"/>
  <c r="BZ14"/>
  <c r="BZ17" s="1"/>
  <c r="BZ24" i="1" s="1"/>
  <c r="BY14" i="4"/>
  <c r="BY17"/>
  <c r="BY24" i="1" s="1"/>
  <c r="BX14" i="4"/>
  <c r="BX17" s="1"/>
  <c r="BW14"/>
  <c r="AZ12" i="7" s="1"/>
  <c r="CA13" i="4"/>
  <c r="CA12"/>
  <c r="CA11"/>
  <c r="CA10"/>
  <c r="CA9"/>
  <c r="CA8"/>
  <c r="CA32" s="1"/>
  <c r="CA7"/>
  <c r="CA32" i="3"/>
  <c r="CA25"/>
  <c r="CA24"/>
  <c r="CA23"/>
  <c r="BZ19"/>
  <c r="BY19"/>
  <c r="BX19"/>
  <c r="BW19"/>
  <c r="CA18"/>
  <c r="CA17"/>
  <c r="CA16"/>
  <c r="CA15"/>
  <c r="CA14"/>
  <c r="CA11"/>
  <c r="CA8"/>
  <c r="BN28" i="2"/>
  <c r="BM28"/>
  <c r="BL28"/>
  <c r="BK23"/>
  <c r="BK28"/>
  <c r="BN16"/>
  <c r="BM16"/>
  <c r="BL16"/>
  <c r="BK16"/>
  <c r="BN9"/>
  <c r="BM9"/>
  <c r="BL9"/>
  <c r="BK9"/>
  <c r="BW46" i="1"/>
  <c r="BW45"/>
  <c r="CA44"/>
  <c r="CA43"/>
  <c r="BW42"/>
  <c r="BZ37"/>
  <c r="BY37"/>
  <c r="BX37"/>
  <c r="BW37"/>
  <c r="BW32"/>
  <c r="CA20"/>
  <c r="CA18"/>
  <c r="CA17"/>
  <c r="CA15"/>
  <c r="CA13"/>
  <c r="CA12"/>
  <c r="CA10"/>
  <c r="CA9"/>
  <c r="CA8"/>
  <c r="BZ7"/>
  <c r="BZ11" s="1"/>
  <c r="BZ14" s="1"/>
  <c r="BZ16" s="1"/>
  <c r="BZ19" s="1"/>
  <c r="BY7"/>
  <c r="BY11" s="1"/>
  <c r="BY14" s="1"/>
  <c r="BY16" s="1"/>
  <c r="BY19" s="1"/>
  <c r="BX7"/>
  <c r="BX11" s="1"/>
  <c r="BX14" s="1"/>
  <c r="BX16" s="1"/>
  <c r="BX19" s="1"/>
  <c r="BW7"/>
  <c r="BW11" s="1"/>
  <c r="BW14" s="1"/>
  <c r="BW16" s="1"/>
  <c r="BW19" s="1"/>
  <c r="BW21" s="1"/>
  <c r="BZ5"/>
  <c r="BY5"/>
  <c r="BX5"/>
  <c r="BW5"/>
  <c r="CA5" s="1"/>
  <c r="BK18" i="2"/>
  <c r="BL18"/>
  <c r="BN18"/>
  <c r="BM18"/>
  <c r="BS26" i="6"/>
  <c r="CA14" i="4"/>
  <c r="BW29"/>
  <c r="CA31"/>
  <c r="CA19" i="3"/>
  <c r="BY12"/>
  <c r="BY21"/>
  <c r="BY26" s="1"/>
  <c r="BY33" s="1"/>
  <c r="CA28" i="4"/>
  <c r="CA30"/>
  <c r="CA58"/>
  <c r="BM42" i="2"/>
  <c r="BX12" i="3"/>
  <c r="BX36" i="1" s="1"/>
  <c r="CA36" s="1"/>
  <c r="BZ12" i="3"/>
  <c r="BY36" i="1"/>
  <c r="BZ36"/>
  <c r="BZ21" i="3"/>
  <c r="BZ26"/>
  <c r="BW12"/>
  <c r="O30" i="4"/>
  <c r="P31"/>
  <c r="Q31"/>
  <c r="R31"/>
  <c r="BT37" i="1"/>
  <c r="BT42"/>
  <c r="BT46"/>
  <c r="BT32" i="4"/>
  <c r="BT30"/>
  <c r="BT31"/>
  <c r="BT8" i="3"/>
  <c r="BT31" i="1"/>
  <c r="BK71" i="4"/>
  <c r="BS71"/>
  <c r="BS42" i="1"/>
  <c r="BR42"/>
  <c r="BQ42"/>
  <c r="BS37"/>
  <c r="BR37"/>
  <c r="BQ37"/>
  <c r="BS8" i="3"/>
  <c r="BU8" s="1"/>
  <c r="BR8"/>
  <c r="BQ8"/>
  <c r="BQ46" i="1"/>
  <c r="BR46"/>
  <c r="BS46"/>
  <c r="BM29" i="6"/>
  <c r="BS70" i="4"/>
  <c r="BS32"/>
  <c r="BS31"/>
  <c r="BS30"/>
  <c r="BR71"/>
  <c r="BL29" i="6"/>
  <c r="BR70" i="4"/>
  <c r="BR32"/>
  <c r="BR31"/>
  <c r="BR30"/>
  <c r="BG9" i="2"/>
  <c r="BQ71" i="4"/>
  <c r="BQ70"/>
  <c r="BQ32"/>
  <c r="BQ31"/>
  <c r="BQ30"/>
  <c r="BN10" i="6"/>
  <c r="BN14" s="1"/>
  <c r="BN17" s="1"/>
  <c r="BM10"/>
  <c r="BL10"/>
  <c r="BR45" i="1" s="1"/>
  <c r="BK10" i="6"/>
  <c r="BT68" i="4"/>
  <c r="BT32" i="1" s="1"/>
  <c r="BS68" i="4"/>
  <c r="BS32" i="1" s="1"/>
  <c r="BR68" i="4"/>
  <c r="BR32" i="1" s="1"/>
  <c r="BQ68" i="4"/>
  <c r="BQ32" i="1" s="1"/>
  <c r="BT58" i="4"/>
  <c r="BS58"/>
  <c r="BX69" s="1"/>
  <c r="BR58"/>
  <c r="BW69" s="1"/>
  <c r="BQ58"/>
  <c r="BU57"/>
  <c r="BU56"/>
  <c r="BU55"/>
  <c r="BU54"/>
  <c r="BU53"/>
  <c r="BU52"/>
  <c r="BT71" s="1"/>
  <c r="BU51"/>
  <c r="BT70" s="1"/>
  <c r="BT28"/>
  <c r="BT7" i="1" s="1"/>
  <c r="BS28" i="4"/>
  <c r="BR28"/>
  <c r="BR7" i="1"/>
  <c r="BR7" i="3" s="1"/>
  <c r="BR12" s="1"/>
  <c r="BR21" s="1"/>
  <c r="BR26" s="1"/>
  <c r="BQ28" i="4"/>
  <c r="BU27"/>
  <c r="BU26"/>
  <c r="BU25"/>
  <c r="BN29" i="6" s="1"/>
  <c r="BU24" i="4"/>
  <c r="AX11" i="7" s="1"/>
  <c r="BU23" i="4"/>
  <c r="BU22"/>
  <c r="BU32" s="1"/>
  <c r="BU21"/>
  <c r="BU16"/>
  <c r="BT14"/>
  <c r="BT5" i="1" s="1"/>
  <c r="BS14" i="4"/>
  <c r="BS29" s="1"/>
  <c r="BR14"/>
  <c r="BQ14"/>
  <c r="BQ5" i="1" s="1"/>
  <c r="BU13" i="4"/>
  <c r="BU12"/>
  <c r="BU11"/>
  <c r="BU10"/>
  <c r="BU9"/>
  <c r="BU8"/>
  <c r="BU7"/>
  <c r="BU32" i="3"/>
  <c r="BU25"/>
  <c r="BU24"/>
  <c r="BU23"/>
  <c r="BT19"/>
  <c r="BS19"/>
  <c r="BR19"/>
  <c r="BQ19"/>
  <c r="BU18"/>
  <c r="BU17"/>
  <c r="BU16"/>
  <c r="BU15"/>
  <c r="BU14"/>
  <c r="BU19" s="1"/>
  <c r="BU11"/>
  <c r="BI23" i="2"/>
  <c r="BI28" s="1"/>
  <c r="BH23"/>
  <c r="BH28" s="1"/>
  <c r="BG23"/>
  <c r="BF23"/>
  <c r="BF28"/>
  <c r="BI16"/>
  <c r="BH16"/>
  <c r="BG16"/>
  <c r="BG18"/>
  <c r="BF16"/>
  <c r="BI9"/>
  <c r="BH9"/>
  <c r="BF9"/>
  <c r="BF18"/>
  <c r="BU44" i="1"/>
  <c r="BU43"/>
  <c r="BU20"/>
  <c r="BU18"/>
  <c r="BU17"/>
  <c r="BU15"/>
  <c r="BU13"/>
  <c r="BU12"/>
  <c r="BU10"/>
  <c r="BU9"/>
  <c r="BU8"/>
  <c r="BN32" i="4"/>
  <c r="BN31"/>
  <c r="BN30"/>
  <c r="BO24" i="3"/>
  <c r="BM11"/>
  <c r="BM71" i="4"/>
  <c r="BM70"/>
  <c r="BM32"/>
  <c r="BM31"/>
  <c r="BM30"/>
  <c r="BL71"/>
  <c r="BL37" i="1"/>
  <c r="BO37"/>
  <c r="BL70" i="4"/>
  <c r="BK70"/>
  <c r="BL45" i="1"/>
  <c r="BL32" i="4"/>
  <c r="BL31"/>
  <c r="BL30"/>
  <c r="BO32" i="3"/>
  <c r="BO25"/>
  <c r="BO23"/>
  <c r="BN19"/>
  <c r="BM19"/>
  <c r="BL19"/>
  <c r="BK19"/>
  <c r="BO18"/>
  <c r="BO17"/>
  <c r="BO16"/>
  <c r="BO15"/>
  <c r="BO14"/>
  <c r="BN12"/>
  <c r="BM12"/>
  <c r="BL12"/>
  <c r="BK12"/>
  <c r="BK21"/>
  <c r="BK26"/>
  <c r="BO11"/>
  <c r="BO8"/>
  <c r="BO7"/>
  <c r="BO12" s="1"/>
  <c r="BO21" s="1"/>
  <c r="BO26" s="1"/>
  <c r="BA39" i="2"/>
  <c r="BA24"/>
  <c r="BD23"/>
  <c r="BD28"/>
  <c r="BC23"/>
  <c r="BC28"/>
  <c r="BB23"/>
  <c r="BB28"/>
  <c r="BA23"/>
  <c r="BA28"/>
  <c r="BD16"/>
  <c r="BC16"/>
  <c r="BB16"/>
  <c r="BA16"/>
  <c r="BD9"/>
  <c r="BC9"/>
  <c r="BB9"/>
  <c r="BA9"/>
  <c r="BO44" i="1"/>
  <c r="BO43"/>
  <c r="BI43"/>
  <c r="BE23" i="6"/>
  <c r="BG29"/>
  <c r="BF29"/>
  <c r="BE29"/>
  <c r="BH10"/>
  <c r="BH14"/>
  <c r="BH17"/>
  <c r="BG10"/>
  <c r="BM45" i="1"/>
  <c r="BF10" i="6"/>
  <c r="BF14"/>
  <c r="BF17" s="1"/>
  <c r="BE10"/>
  <c r="BE14" s="1"/>
  <c r="BE17" s="1"/>
  <c r="BN68" i="4"/>
  <c r="BM68"/>
  <c r="BL68"/>
  <c r="BK68"/>
  <c r="BN58"/>
  <c r="BM58"/>
  <c r="BL58"/>
  <c r="BK58"/>
  <c r="BO57"/>
  <c r="BO56"/>
  <c r="BO55"/>
  <c r="BO54"/>
  <c r="BO53"/>
  <c r="BO52"/>
  <c r="BN71" s="1"/>
  <c r="BO51"/>
  <c r="BO58" s="1"/>
  <c r="BN69" s="1"/>
  <c r="BK32"/>
  <c r="BK31"/>
  <c r="BK30"/>
  <c r="BN28"/>
  <c r="BM28"/>
  <c r="BL28"/>
  <c r="BK28"/>
  <c r="BO27"/>
  <c r="BO26"/>
  <c r="BO25"/>
  <c r="BH29" i="6"/>
  <c r="BO24" i="4"/>
  <c r="AS11" i="7" s="1"/>
  <c r="BO23" i="4"/>
  <c r="BO22"/>
  <c r="BO21"/>
  <c r="BO28" s="1"/>
  <c r="BO16"/>
  <c r="BO31" s="1"/>
  <c r="BN14"/>
  <c r="BM14"/>
  <c r="BL14"/>
  <c r="BL29" s="1"/>
  <c r="BK14"/>
  <c r="BO13"/>
  <c r="BO12"/>
  <c r="BO11"/>
  <c r="BO10"/>
  <c r="BO9"/>
  <c r="BO8"/>
  <c r="BO7"/>
  <c r="BO14"/>
  <c r="AS12" i="7" s="1"/>
  <c r="BO36" i="1"/>
  <c r="BO20"/>
  <c r="BO18"/>
  <c r="BO17"/>
  <c r="BO15"/>
  <c r="BO13"/>
  <c r="BO12"/>
  <c r="BN11"/>
  <c r="BN14" s="1"/>
  <c r="BN16" s="1"/>
  <c r="BN19" s="1"/>
  <c r="BN21" s="1"/>
  <c r="BM11"/>
  <c r="BM14"/>
  <c r="BM16" s="1"/>
  <c r="BM19" s="1"/>
  <c r="BM21" s="1"/>
  <c r="BL11"/>
  <c r="BL14"/>
  <c r="BL16"/>
  <c r="BL19"/>
  <c r="BL21" s="1"/>
  <c r="BK11"/>
  <c r="BK14" s="1"/>
  <c r="BK16" s="1"/>
  <c r="BK19" s="1"/>
  <c r="BK21" s="1"/>
  <c r="BO10"/>
  <c r="BO9"/>
  <c r="BO8"/>
  <c r="BO7"/>
  <c r="BO5"/>
  <c r="BH42"/>
  <c r="BH45"/>
  <c r="BG71" i="4"/>
  <c r="BI7" i="3"/>
  <c r="BI37" i="1"/>
  <c r="BE70" i="4"/>
  <c r="BG70"/>
  <c r="BE58"/>
  <c r="BA29" i="6"/>
  <c r="BF68" i="4"/>
  <c r="BG32"/>
  <c r="BG31"/>
  <c r="BG30"/>
  <c r="BF71"/>
  <c r="BF70"/>
  <c r="BI13"/>
  <c r="A8" i="6"/>
  <c r="C8"/>
  <c r="D8"/>
  <c r="D10" s="1"/>
  <c r="E8"/>
  <c r="E10" s="1"/>
  <c r="F8"/>
  <c r="F10" s="1"/>
  <c r="F14" s="1"/>
  <c r="F17" s="1"/>
  <c r="I8"/>
  <c r="I10"/>
  <c r="J8"/>
  <c r="J10" s="1"/>
  <c r="K8"/>
  <c r="K10" s="1"/>
  <c r="L8"/>
  <c r="L10" s="1"/>
  <c r="L14" s="1"/>
  <c r="L17" s="1"/>
  <c r="O8"/>
  <c r="O10" s="1"/>
  <c r="P8"/>
  <c r="P10" s="1"/>
  <c r="Q8"/>
  <c r="Q10" s="1"/>
  <c r="R8"/>
  <c r="R10" s="1"/>
  <c r="U8"/>
  <c r="U10" s="1"/>
  <c r="V8"/>
  <c r="V10" s="1"/>
  <c r="W8"/>
  <c r="W10" s="1"/>
  <c r="X8"/>
  <c r="X10" s="1"/>
  <c r="C10"/>
  <c r="C14" s="1"/>
  <c r="C17" s="1"/>
  <c r="AA10"/>
  <c r="AB10"/>
  <c r="AC10"/>
  <c r="AD10"/>
  <c r="AG10"/>
  <c r="AH10"/>
  <c r="AI10"/>
  <c r="AI14"/>
  <c r="AI17" s="1"/>
  <c r="AJ10"/>
  <c r="AM10"/>
  <c r="AM14"/>
  <c r="AM17" s="1"/>
  <c r="AN10"/>
  <c r="AO10"/>
  <c r="AO14"/>
  <c r="AO17" s="1"/>
  <c r="AP10"/>
  <c r="AS10"/>
  <c r="AS14"/>
  <c r="AS17" s="1"/>
  <c r="AT10"/>
  <c r="AU10"/>
  <c r="AU14"/>
  <c r="AU17" s="1"/>
  <c r="AV10"/>
  <c r="AY10"/>
  <c r="AY14"/>
  <c r="AY17" s="1"/>
  <c r="AZ10"/>
  <c r="BA10"/>
  <c r="BA14"/>
  <c r="BA17" s="1"/>
  <c r="BB10"/>
  <c r="A12"/>
  <c r="C12"/>
  <c r="D12"/>
  <c r="E12"/>
  <c r="F12"/>
  <c r="I12"/>
  <c r="J12"/>
  <c r="K12"/>
  <c r="L12"/>
  <c r="O12"/>
  <c r="P12"/>
  <c r="Q12"/>
  <c r="R12"/>
  <c r="U12"/>
  <c r="V12"/>
  <c r="W12"/>
  <c r="X12"/>
  <c r="AA12"/>
  <c r="AA14" s="1"/>
  <c r="AB12"/>
  <c r="AB14" s="1"/>
  <c r="AB17" s="1"/>
  <c r="AC12"/>
  <c r="AC14" s="1"/>
  <c r="AC17" s="1"/>
  <c r="AD12"/>
  <c r="AD14" s="1"/>
  <c r="AD17" s="1"/>
  <c r="AG12"/>
  <c r="AH14"/>
  <c r="AH17" s="1"/>
  <c r="AJ14"/>
  <c r="AJ17" s="1"/>
  <c r="AN14"/>
  <c r="AN17" s="1"/>
  <c r="AP14"/>
  <c r="AP17" s="1"/>
  <c r="AT14"/>
  <c r="AT17" s="1"/>
  <c r="AV14"/>
  <c r="AV17" s="1"/>
  <c r="AZ14"/>
  <c r="AZ17" s="1"/>
  <c r="BB14"/>
  <c r="BB17" s="1"/>
  <c r="C15"/>
  <c r="D15"/>
  <c r="E15"/>
  <c r="F15"/>
  <c r="I15"/>
  <c r="J15"/>
  <c r="K15"/>
  <c r="L15"/>
  <c r="O15"/>
  <c r="P15"/>
  <c r="Q15"/>
  <c r="R15"/>
  <c r="U15"/>
  <c r="V15"/>
  <c r="W15"/>
  <c r="X15"/>
  <c r="C16"/>
  <c r="D16"/>
  <c r="E16"/>
  <c r="F16"/>
  <c r="I16"/>
  <c r="J16"/>
  <c r="K16"/>
  <c r="L16"/>
  <c r="O16"/>
  <c r="P16"/>
  <c r="Q16"/>
  <c r="R16"/>
  <c r="U16"/>
  <c r="V16"/>
  <c r="W16"/>
  <c r="X16"/>
  <c r="AA16"/>
  <c r="AG16"/>
  <c r="AH22"/>
  <c r="AN71" i="4" s="1"/>
  <c r="AI22" i="6"/>
  <c r="K29"/>
  <c r="O29"/>
  <c r="O28" s="1"/>
  <c r="O30" s="1"/>
  <c r="P29"/>
  <c r="Q29"/>
  <c r="U29"/>
  <c r="V29"/>
  <c r="W29"/>
  <c r="AA29"/>
  <c r="AB29"/>
  <c r="AC29"/>
  <c r="AG29"/>
  <c r="AH29"/>
  <c r="AI29"/>
  <c r="AM29"/>
  <c r="AN29"/>
  <c r="AO29"/>
  <c r="AS29"/>
  <c r="AT29"/>
  <c r="AU29"/>
  <c r="AY29"/>
  <c r="AZ29"/>
  <c r="G7" i="4"/>
  <c r="M7"/>
  <c r="S7"/>
  <c r="Y7"/>
  <c r="AE7"/>
  <c r="AK7"/>
  <c r="AQ7"/>
  <c r="AW7"/>
  <c r="BB7"/>
  <c r="BC7"/>
  <c r="G8"/>
  <c r="M8"/>
  <c r="S8"/>
  <c r="Y8"/>
  <c r="AE8"/>
  <c r="AK8"/>
  <c r="AQ8"/>
  <c r="AW8"/>
  <c r="BB8"/>
  <c r="BC8"/>
  <c r="G9"/>
  <c r="M9"/>
  <c r="S9"/>
  <c r="Y9"/>
  <c r="AE9"/>
  <c r="AK9"/>
  <c r="AQ9"/>
  <c r="AW9"/>
  <c r="BC9"/>
  <c r="BI9"/>
  <c r="G10"/>
  <c r="M10"/>
  <c r="S10"/>
  <c r="Y10"/>
  <c r="AE10"/>
  <c r="AK10"/>
  <c r="AQ10"/>
  <c r="AW10"/>
  <c r="BC10"/>
  <c r="BI10"/>
  <c r="G11"/>
  <c r="M11"/>
  <c r="S11"/>
  <c r="Y11"/>
  <c r="AE11"/>
  <c r="AK11"/>
  <c r="AQ11"/>
  <c r="AW11"/>
  <c r="BB11"/>
  <c r="BC11"/>
  <c r="G12"/>
  <c r="M12"/>
  <c r="S12"/>
  <c r="Y12"/>
  <c r="AE12"/>
  <c r="AK12"/>
  <c r="AQ12"/>
  <c r="AW12"/>
  <c r="BC12"/>
  <c r="BI12"/>
  <c r="G13"/>
  <c r="M13"/>
  <c r="S13"/>
  <c r="Y13"/>
  <c r="AE13"/>
  <c r="AK13"/>
  <c r="AQ13"/>
  <c r="AW13"/>
  <c r="BC13"/>
  <c r="C14"/>
  <c r="D14"/>
  <c r="E14"/>
  <c r="F14"/>
  <c r="I14"/>
  <c r="J14"/>
  <c r="K14"/>
  <c r="L14"/>
  <c r="M14"/>
  <c r="O14"/>
  <c r="P14"/>
  <c r="P17"/>
  <c r="Q14"/>
  <c r="R14"/>
  <c r="R17" s="1"/>
  <c r="R24" i="1" s="1"/>
  <c r="U14" i="4"/>
  <c r="V14"/>
  <c r="W14"/>
  <c r="X14"/>
  <c r="AA14"/>
  <c r="AB14"/>
  <c r="AC14"/>
  <c r="AD14"/>
  <c r="AE14"/>
  <c r="AG14"/>
  <c r="AH14"/>
  <c r="AI14"/>
  <c r="AJ14"/>
  <c r="AK14"/>
  <c r="AM14"/>
  <c r="AN14"/>
  <c r="AO14"/>
  <c r="AP14"/>
  <c r="AQ14"/>
  <c r="AS14"/>
  <c r="AT14"/>
  <c r="AU14"/>
  <c r="AV14"/>
  <c r="AW14"/>
  <c r="AY14"/>
  <c r="AZ14"/>
  <c r="BA14"/>
  <c r="BB14"/>
  <c r="BE14"/>
  <c r="BF14"/>
  <c r="BG14"/>
  <c r="BG17"/>
  <c r="O16"/>
  <c r="O31"/>
  <c r="S16"/>
  <c r="AA16"/>
  <c r="AA31" s="1"/>
  <c r="AA17"/>
  <c r="AA24" i="1" s="1"/>
  <c r="AB16" i="4"/>
  <c r="AC16"/>
  <c r="AC17"/>
  <c r="AC24" i="1" s="1"/>
  <c r="AD16" i="4"/>
  <c r="AG16"/>
  <c r="AG17"/>
  <c r="AG24" i="1" s="1"/>
  <c r="AH16" i="4"/>
  <c r="AI16"/>
  <c r="AJ16"/>
  <c r="AM16"/>
  <c r="AM17"/>
  <c r="AN16"/>
  <c r="AO16"/>
  <c r="AP16"/>
  <c r="AP17"/>
  <c r="AS16"/>
  <c r="AT16"/>
  <c r="AU16"/>
  <c r="AU31"/>
  <c r="AV16"/>
  <c r="AV17"/>
  <c r="BC16"/>
  <c r="BI16"/>
  <c r="Q17"/>
  <c r="AB17"/>
  <c r="AB24" i="1"/>
  <c r="AH17" i="4"/>
  <c r="AS17"/>
  <c r="AS24" i="1" s="1"/>
  <c r="AY17" i="4"/>
  <c r="AZ17"/>
  <c r="BB17"/>
  <c r="BF17"/>
  <c r="BF24" i="1"/>
  <c r="G21" i="4"/>
  <c r="G30"/>
  <c r="M21"/>
  <c r="S21"/>
  <c r="Y21"/>
  <c r="Y30" s="1"/>
  <c r="AE21"/>
  <c r="AK21"/>
  <c r="AK30" s="1"/>
  <c r="AQ21"/>
  <c r="AW21"/>
  <c r="AW30" s="1"/>
  <c r="BC21"/>
  <c r="BC31" s="1"/>
  <c r="BI21"/>
  <c r="BI31" s="1"/>
  <c r="G22"/>
  <c r="G32"/>
  <c r="M22"/>
  <c r="S22"/>
  <c r="S32" s="1"/>
  <c r="Y22"/>
  <c r="AE22"/>
  <c r="AE32"/>
  <c r="AK22"/>
  <c r="AQ22"/>
  <c r="AQ32" s="1"/>
  <c r="AW22"/>
  <c r="BC22"/>
  <c r="BC32"/>
  <c r="BI22"/>
  <c r="G23"/>
  <c r="I23"/>
  <c r="S23"/>
  <c r="Y23"/>
  <c r="AE23"/>
  <c r="AK23"/>
  <c r="AQ23"/>
  <c r="AW23"/>
  <c r="BC23"/>
  <c r="BI23"/>
  <c r="BI28" s="1"/>
  <c r="G24"/>
  <c r="M24"/>
  <c r="S24"/>
  <c r="Y24"/>
  <c r="AE24"/>
  <c r="AK24"/>
  <c r="AQ24"/>
  <c r="AW24"/>
  <c r="BC24"/>
  <c r="AI11" i="7" s="1"/>
  <c r="BI24" i="4"/>
  <c r="AN11" i="7" s="1"/>
  <c r="C25" i="4"/>
  <c r="E25"/>
  <c r="J29" i="6" s="1"/>
  <c r="M25" i="4"/>
  <c r="S25"/>
  <c r="Y25"/>
  <c r="AE25"/>
  <c r="AK25"/>
  <c r="AD29" i="6" s="1"/>
  <c r="AQ25" i="4"/>
  <c r="AJ29" i="6" s="1"/>
  <c r="AW25" i="4"/>
  <c r="AP29" i="6" s="1"/>
  <c r="BC25" i="4"/>
  <c r="AV29" i="6" s="1"/>
  <c r="BI25" i="4"/>
  <c r="BB29" i="6" s="1"/>
  <c r="G26" i="4"/>
  <c r="M26"/>
  <c r="L29" i="6"/>
  <c r="S26" i="4"/>
  <c r="R29" i="6"/>
  <c r="Y26" i="4"/>
  <c r="AE26"/>
  <c r="AE28" s="1"/>
  <c r="AE29" s="1"/>
  <c r="AK26"/>
  <c r="AQ26"/>
  <c r="AQ28" s="1"/>
  <c r="AW26"/>
  <c r="BC26"/>
  <c r="BI26"/>
  <c r="C27"/>
  <c r="E27"/>
  <c r="M27"/>
  <c r="S27"/>
  <c r="Y27"/>
  <c r="Y28" s="1"/>
  <c r="AE27"/>
  <c r="AK27"/>
  <c r="AK28"/>
  <c r="AD19" i="6"/>
  <c r="AD26" s="1"/>
  <c r="T10" i="7" s="1"/>
  <c r="AQ27" i="4"/>
  <c r="AW27"/>
  <c r="BC27"/>
  <c r="BC28" s="1"/>
  <c r="BI27"/>
  <c r="D28"/>
  <c r="D29"/>
  <c r="F28"/>
  <c r="J28"/>
  <c r="K28"/>
  <c r="K29"/>
  <c r="L28"/>
  <c r="O28"/>
  <c r="O29" s="1"/>
  <c r="P28"/>
  <c r="Q28"/>
  <c r="Q29"/>
  <c r="R28"/>
  <c r="U28"/>
  <c r="U29" s="1"/>
  <c r="V28"/>
  <c r="W28"/>
  <c r="X28"/>
  <c r="AA28"/>
  <c r="AA29"/>
  <c r="AB28"/>
  <c r="AC28"/>
  <c r="AC29" s="1"/>
  <c r="AD28"/>
  <c r="AG28"/>
  <c r="AG29"/>
  <c r="AH28"/>
  <c r="AI28"/>
  <c r="AI29" s="1"/>
  <c r="AJ28"/>
  <c r="AM28"/>
  <c r="AM29"/>
  <c r="AN28"/>
  <c r="AO28"/>
  <c r="AO29" s="1"/>
  <c r="AP28"/>
  <c r="AS28"/>
  <c r="AT28"/>
  <c r="AU28"/>
  <c r="AO19" i="6" s="1"/>
  <c r="AO26" s="1"/>
  <c r="AV28" i="4"/>
  <c r="AV29" s="1"/>
  <c r="AW28"/>
  <c r="AW29" s="1"/>
  <c r="AY28"/>
  <c r="AZ28"/>
  <c r="BA28"/>
  <c r="BB28"/>
  <c r="BE28"/>
  <c r="BF28"/>
  <c r="BG28"/>
  <c r="BH28"/>
  <c r="BF19" i="6" s="1"/>
  <c r="BF26" s="1"/>
  <c r="BF28" s="1"/>
  <c r="BF30" s="1"/>
  <c r="BF34" s="1"/>
  <c r="F29" i="4"/>
  <c r="J29"/>
  <c r="L29"/>
  <c r="P29"/>
  <c r="R29"/>
  <c r="V29"/>
  <c r="X29"/>
  <c r="AB29"/>
  <c r="AD29"/>
  <c r="AH29"/>
  <c r="AJ29"/>
  <c r="AN29"/>
  <c r="AP29"/>
  <c r="AS29"/>
  <c r="AY29"/>
  <c r="BB29"/>
  <c r="BF29"/>
  <c r="C30"/>
  <c r="D30"/>
  <c r="E30"/>
  <c r="F30"/>
  <c r="I30"/>
  <c r="J30"/>
  <c r="K30"/>
  <c r="L30"/>
  <c r="M30"/>
  <c r="P30"/>
  <c r="Q30"/>
  <c r="R30"/>
  <c r="S30"/>
  <c r="U30"/>
  <c r="V30"/>
  <c r="W30"/>
  <c r="X30"/>
  <c r="AA30"/>
  <c r="AB30"/>
  <c r="AC30"/>
  <c r="AD30"/>
  <c r="AE30"/>
  <c r="AG30"/>
  <c r="AH30"/>
  <c r="AI30"/>
  <c r="AJ30"/>
  <c r="AM30"/>
  <c r="AN30"/>
  <c r="AO30"/>
  <c r="AP30"/>
  <c r="AQ30"/>
  <c r="AS30"/>
  <c r="AT30"/>
  <c r="AU30"/>
  <c r="AV30"/>
  <c r="AY30"/>
  <c r="AZ30"/>
  <c r="BA30"/>
  <c r="BB30"/>
  <c r="BE30"/>
  <c r="BF30"/>
  <c r="AB31"/>
  <c r="AC31"/>
  <c r="AG31"/>
  <c r="AH31"/>
  <c r="AJ31"/>
  <c r="AM31"/>
  <c r="AN31"/>
  <c r="AP31"/>
  <c r="AS31"/>
  <c r="AV31"/>
  <c r="AY31"/>
  <c r="AZ31"/>
  <c r="BA31"/>
  <c r="BB31"/>
  <c r="BE31"/>
  <c r="BF31"/>
  <c r="C32"/>
  <c r="D32"/>
  <c r="E32"/>
  <c r="F32"/>
  <c r="I32"/>
  <c r="J32"/>
  <c r="K32"/>
  <c r="L32"/>
  <c r="M32"/>
  <c r="O32"/>
  <c r="P32"/>
  <c r="Q32"/>
  <c r="R32"/>
  <c r="U32"/>
  <c r="V32"/>
  <c r="W32"/>
  <c r="X32"/>
  <c r="Y32"/>
  <c r="AA32"/>
  <c r="AB32"/>
  <c r="AC32"/>
  <c r="AD32"/>
  <c r="AG32"/>
  <c r="AH32"/>
  <c r="AI32"/>
  <c r="AJ32"/>
  <c r="AK32"/>
  <c r="AM32"/>
  <c r="AN32"/>
  <c r="AO32"/>
  <c r="AP32"/>
  <c r="AS32"/>
  <c r="AT32"/>
  <c r="AU32"/>
  <c r="AV32"/>
  <c r="AW32"/>
  <c r="AY32"/>
  <c r="AZ32"/>
  <c r="BA32"/>
  <c r="BB32"/>
  <c r="BE32"/>
  <c r="BF32"/>
  <c r="C35"/>
  <c r="G35"/>
  <c r="I35"/>
  <c r="J35"/>
  <c r="K35"/>
  <c r="L35"/>
  <c r="Q70" s="1"/>
  <c r="S35"/>
  <c r="Y35"/>
  <c r="G36"/>
  <c r="J36"/>
  <c r="K36"/>
  <c r="S36"/>
  <c r="Y36"/>
  <c r="Y46" s="1"/>
  <c r="C37"/>
  <c r="D37"/>
  <c r="E37"/>
  <c r="F37"/>
  <c r="J37"/>
  <c r="K37"/>
  <c r="S37"/>
  <c r="Y37"/>
  <c r="C38"/>
  <c r="D38"/>
  <c r="E38"/>
  <c r="F38"/>
  <c r="I38"/>
  <c r="J38"/>
  <c r="K38"/>
  <c r="L38"/>
  <c r="S38"/>
  <c r="Y38"/>
  <c r="D39"/>
  <c r="F39"/>
  <c r="M39"/>
  <c r="S39"/>
  <c r="Y39"/>
  <c r="C40"/>
  <c r="D40"/>
  <c r="E40"/>
  <c r="F40"/>
  <c r="I40"/>
  <c r="J40"/>
  <c r="K40"/>
  <c r="L40"/>
  <c r="S40"/>
  <c r="Y40"/>
  <c r="G41"/>
  <c r="M41"/>
  <c r="S41"/>
  <c r="Y41"/>
  <c r="O42"/>
  <c r="O43" s="1"/>
  <c r="P42"/>
  <c r="P43" s="1"/>
  <c r="Q42"/>
  <c r="Q43" s="1"/>
  <c r="R42"/>
  <c r="R43" s="1"/>
  <c r="U42"/>
  <c r="V42"/>
  <c r="V43"/>
  <c r="W42"/>
  <c r="X42"/>
  <c r="X43" s="1"/>
  <c r="U43"/>
  <c r="C44"/>
  <c r="D44"/>
  <c r="E44"/>
  <c r="F44"/>
  <c r="I44"/>
  <c r="J44"/>
  <c r="K44"/>
  <c r="L44"/>
  <c r="O44"/>
  <c r="P44"/>
  <c r="Q44"/>
  <c r="R44"/>
  <c r="S44"/>
  <c r="U44"/>
  <c r="V44"/>
  <c r="W44"/>
  <c r="X44"/>
  <c r="Y44"/>
  <c r="O45"/>
  <c r="P45"/>
  <c r="Q45"/>
  <c r="R45"/>
  <c r="C46"/>
  <c r="D46"/>
  <c r="E46"/>
  <c r="F46"/>
  <c r="G46"/>
  <c r="I46"/>
  <c r="K46"/>
  <c r="L46"/>
  <c r="O46"/>
  <c r="P46"/>
  <c r="Q46"/>
  <c r="R46"/>
  <c r="S46"/>
  <c r="U46"/>
  <c r="V46"/>
  <c r="W46"/>
  <c r="X46"/>
  <c r="G51"/>
  <c r="M51"/>
  <c r="S51"/>
  <c r="Y51"/>
  <c r="AE51"/>
  <c r="AK51"/>
  <c r="AQ51"/>
  <c r="AP70" s="1"/>
  <c r="AW51"/>
  <c r="BC51"/>
  <c r="BB70"/>
  <c r="BI51"/>
  <c r="BH70"/>
  <c r="G52"/>
  <c r="M52"/>
  <c r="S52"/>
  <c r="Y52"/>
  <c r="AE52"/>
  <c r="AK52"/>
  <c r="AJ71" s="1"/>
  <c r="AQ52"/>
  <c r="AW52"/>
  <c r="BC52"/>
  <c r="BB71" s="1"/>
  <c r="BI52"/>
  <c r="BH71" s="1"/>
  <c r="G53"/>
  <c r="I53"/>
  <c r="L53"/>
  <c r="L37" s="1"/>
  <c r="S53"/>
  <c r="Y53"/>
  <c r="AE53"/>
  <c r="AK53"/>
  <c r="AQ53"/>
  <c r="AW53"/>
  <c r="BC53"/>
  <c r="BI53"/>
  <c r="G54"/>
  <c r="M54"/>
  <c r="S54"/>
  <c r="Y54"/>
  <c r="AE54"/>
  <c r="AK54"/>
  <c r="AQ54"/>
  <c r="AW54"/>
  <c r="BC54"/>
  <c r="BI54"/>
  <c r="C55"/>
  <c r="C39"/>
  <c r="C42" s="1"/>
  <c r="E55"/>
  <c r="E39"/>
  <c r="L55"/>
  <c r="M55"/>
  <c r="S55"/>
  <c r="Y55"/>
  <c r="AE55"/>
  <c r="AK55"/>
  <c r="AQ55"/>
  <c r="AW55"/>
  <c r="BC55"/>
  <c r="BI55"/>
  <c r="G56"/>
  <c r="M56"/>
  <c r="S56"/>
  <c r="Y56"/>
  <c r="AE56"/>
  <c r="AK56"/>
  <c r="AQ56"/>
  <c r="AW56"/>
  <c r="BC56"/>
  <c r="BI56"/>
  <c r="C57"/>
  <c r="C58"/>
  <c r="E57"/>
  <c r="L57"/>
  <c r="M57" s="1"/>
  <c r="M58" s="1"/>
  <c r="S57"/>
  <c r="Y57"/>
  <c r="AE57"/>
  <c r="AK57"/>
  <c r="AQ57"/>
  <c r="AW57"/>
  <c r="BC57"/>
  <c r="BI57"/>
  <c r="D58"/>
  <c r="F58"/>
  <c r="J58"/>
  <c r="K58"/>
  <c r="O58"/>
  <c r="P58"/>
  <c r="Q58"/>
  <c r="R58"/>
  <c r="U58"/>
  <c r="V58"/>
  <c r="W58"/>
  <c r="X58"/>
  <c r="AA58"/>
  <c r="AB58"/>
  <c r="AC58"/>
  <c r="AD58"/>
  <c r="AG58"/>
  <c r="AH58"/>
  <c r="AI58"/>
  <c r="AJ58"/>
  <c r="AK58"/>
  <c r="AM58"/>
  <c r="AN58"/>
  <c r="AO58"/>
  <c r="AP58"/>
  <c r="AS58"/>
  <c r="AT58"/>
  <c r="AU58"/>
  <c r="AV58"/>
  <c r="BA69" s="1"/>
  <c r="AY58"/>
  <c r="AZ58"/>
  <c r="BA58"/>
  <c r="BB58"/>
  <c r="BF58"/>
  <c r="BK69" s="1"/>
  <c r="BG58"/>
  <c r="BH58"/>
  <c r="C68"/>
  <c r="D68"/>
  <c r="E68"/>
  <c r="F68"/>
  <c r="I68"/>
  <c r="J68"/>
  <c r="K68"/>
  <c r="L68"/>
  <c r="O68"/>
  <c r="P68"/>
  <c r="Q68"/>
  <c r="R68"/>
  <c r="U68"/>
  <c r="V68"/>
  <c r="W68"/>
  <c r="X68"/>
  <c r="AA68"/>
  <c r="AB68"/>
  <c r="AC68"/>
  <c r="AD68"/>
  <c r="AG68"/>
  <c r="AH68"/>
  <c r="AI68"/>
  <c r="AJ68"/>
  <c r="AM68"/>
  <c r="AN68"/>
  <c r="AO68"/>
  <c r="AP68"/>
  <c r="AS68"/>
  <c r="AT68"/>
  <c r="AU68"/>
  <c r="AV68"/>
  <c r="AY68"/>
  <c r="AZ68"/>
  <c r="BA68"/>
  <c r="BB68"/>
  <c r="BE68"/>
  <c r="BG68"/>
  <c r="BH68"/>
  <c r="V69"/>
  <c r="F70"/>
  <c r="I70"/>
  <c r="J70"/>
  <c r="L70"/>
  <c r="P70"/>
  <c r="R70"/>
  <c r="U70"/>
  <c r="V70"/>
  <c r="W70"/>
  <c r="X70"/>
  <c r="AJ70"/>
  <c r="AM70"/>
  <c r="AN70"/>
  <c r="AO70"/>
  <c r="AS70"/>
  <c r="AT70"/>
  <c r="AU70"/>
  <c r="AV70"/>
  <c r="AY70"/>
  <c r="AZ70"/>
  <c r="BA70"/>
  <c r="F71"/>
  <c r="I71"/>
  <c r="J71"/>
  <c r="L71"/>
  <c r="P71"/>
  <c r="Q71"/>
  <c r="R71"/>
  <c r="U71"/>
  <c r="V71"/>
  <c r="W71"/>
  <c r="X71"/>
  <c r="AM71"/>
  <c r="AO71"/>
  <c r="AP71"/>
  <c r="AS71"/>
  <c r="AT71"/>
  <c r="AU71"/>
  <c r="AY71"/>
  <c r="AZ71"/>
  <c r="BA71"/>
  <c r="BE71"/>
  <c r="C7" i="3"/>
  <c r="D7"/>
  <c r="G7" s="1"/>
  <c r="E7"/>
  <c r="F7"/>
  <c r="F12" s="1"/>
  <c r="F21" s="1"/>
  <c r="F26" s="1"/>
  <c r="I7"/>
  <c r="J7"/>
  <c r="K7"/>
  <c r="L7"/>
  <c r="S7"/>
  <c r="Y7"/>
  <c r="AA7"/>
  <c r="AE7" s="1"/>
  <c r="AB7"/>
  <c r="AC7"/>
  <c r="AD7"/>
  <c r="AK7"/>
  <c r="AK12" s="1"/>
  <c r="AQ7"/>
  <c r="AW7"/>
  <c r="BC7"/>
  <c r="C8"/>
  <c r="C12" s="1"/>
  <c r="C21" s="1"/>
  <c r="C26" s="1"/>
  <c r="C33" s="1"/>
  <c r="D30" s="1"/>
  <c r="D8"/>
  <c r="E8"/>
  <c r="F8"/>
  <c r="I8"/>
  <c r="J8"/>
  <c r="J12" s="1"/>
  <c r="K8"/>
  <c r="K12" s="1"/>
  <c r="L8"/>
  <c r="L12" s="1"/>
  <c r="L21" s="1"/>
  <c r="L26" s="1"/>
  <c r="S8"/>
  <c r="S12" s="1"/>
  <c r="Y8"/>
  <c r="AA8"/>
  <c r="AB8"/>
  <c r="AC8"/>
  <c r="AD8"/>
  <c r="AK8"/>
  <c r="AQ8"/>
  <c r="AW8"/>
  <c r="AW12" s="1"/>
  <c r="BC8"/>
  <c r="BI8"/>
  <c r="AE9"/>
  <c r="G11"/>
  <c r="M11"/>
  <c r="S11"/>
  <c r="Y11"/>
  <c r="AE11"/>
  <c r="AK11"/>
  <c r="AQ11"/>
  <c r="AW11"/>
  <c r="BC11"/>
  <c r="BI11"/>
  <c r="O12"/>
  <c r="P12"/>
  <c r="Q12"/>
  <c r="R12"/>
  <c r="U12"/>
  <c r="V12"/>
  <c r="W12"/>
  <c r="X12"/>
  <c r="AG12"/>
  <c r="AH12"/>
  <c r="AI12"/>
  <c r="AJ12"/>
  <c r="AM12"/>
  <c r="AM21" s="1"/>
  <c r="AM26" s="1"/>
  <c r="AN12"/>
  <c r="AO12"/>
  <c r="AO21" s="1"/>
  <c r="AO26" s="1"/>
  <c r="AP12"/>
  <c r="AQ12"/>
  <c r="AS12"/>
  <c r="AT12"/>
  <c r="AT21" s="1"/>
  <c r="AT26" s="1"/>
  <c r="AU12"/>
  <c r="AV12"/>
  <c r="AV21" s="1"/>
  <c r="AV26" s="1"/>
  <c r="AY12"/>
  <c r="AZ12"/>
  <c r="BA12"/>
  <c r="BB12"/>
  <c r="BC12"/>
  <c r="BE12"/>
  <c r="BF12"/>
  <c r="BG12"/>
  <c r="Y14"/>
  <c r="AE14"/>
  <c r="AG14"/>
  <c r="AQ14"/>
  <c r="AW14"/>
  <c r="BC14"/>
  <c r="BI14"/>
  <c r="G15"/>
  <c r="M15"/>
  <c r="S15"/>
  <c r="Y15"/>
  <c r="AE15"/>
  <c r="AK15"/>
  <c r="AQ15"/>
  <c r="AW15"/>
  <c r="BA15"/>
  <c r="BC15"/>
  <c r="BI15"/>
  <c r="G16"/>
  <c r="M16"/>
  <c r="S16"/>
  <c r="Y16"/>
  <c r="AE16"/>
  <c r="AK16"/>
  <c r="AQ16"/>
  <c r="AW16"/>
  <c r="BC16"/>
  <c r="BI16"/>
  <c r="AW17"/>
  <c r="AW19" s="1"/>
  <c r="BC17"/>
  <c r="BI17"/>
  <c r="G18"/>
  <c r="M18"/>
  <c r="M19" s="1"/>
  <c r="S18"/>
  <c r="S19" s="1"/>
  <c r="U18"/>
  <c r="Y18" s="1"/>
  <c r="Y19" s="1"/>
  <c r="Y21" s="1"/>
  <c r="Y26" s="1"/>
  <c r="Y33" s="1"/>
  <c r="AE18"/>
  <c r="AE19"/>
  <c r="AK18"/>
  <c r="AQ18"/>
  <c r="AW18"/>
  <c r="BC18"/>
  <c r="BI18"/>
  <c r="BI19" s="1"/>
  <c r="BI21" s="1"/>
  <c r="BI26" s="1"/>
  <c r="C19"/>
  <c r="D19"/>
  <c r="E19"/>
  <c r="F19"/>
  <c r="I19"/>
  <c r="J19"/>
  <c r="K19"/>
  <c r="L19"/>
  <c r="O19"/>
  <c r="P19"/>
  <c r="P21"/>
  <c r="P26" s="1"/>
  <c r="Q19"/>
  <c r="R19"/>
  <c r="U19"/>
  <c r="U21" s="1"/>
  <c r="U26" s="1"/>
  <c r="U33" s="1"/>
  <c r="V30" s="1"/>
  <c r="V19"/>
  <c r="V21"/>
  <c r="V26" s="1"/>
  <c r="V33" s="1"/>
  <c r="W30" s="1"/>
  <c r="W19"/>
  <c r="W21" s="1"/>
  <c r="W26" s="1"/>
  <c r="X19"/>
  <c r="X21"/>
  <c r="X26" s="1"/>
  <c r="AA19"/>
  <c r="AB19"/>
  <c r="AC19"/>
  <c r="AD19"/>
  <c r="AH19"/>
  <c r="AI19"/>
  <c r="AI21" s="1"/>
  <c r="AI26" s="1"/>
  <c r="AJ19"/>
  <c r="AM19"/>
  <c r="AN19"/>
  <c r="AN21"/>
  <c r="AO19"/>
  <c r="AP19"/>
  <c r="AP21" s="1"/>
  <c r="AP26" s="1"/>
  <c r="AS19"/>
  <c r="AS21" s="1"/>
  <c r="AS26" s="1"/>
  <c r="AT19"/>
  <c r="AU19"/>
  <c r="AU21" s="1"/>
  <c r="AU26" s="1"/>
  <c r="AV19"/>
  <c r="AY19"/>
  <c r="AY21" s="1"/>
  <c r="AY26" s="1"/>
  <c r="AZ19"/>
  <c r="BA19"/>
  <c r="BB19"/>
  <c r="BE19"/>
  <c r="BE21" s="1"/>
  <c r="BE26" s="1"/>
  <c r="BF19"/>
  <c r="BG19"/>
  <c r="BG21" s="1"/>
  <c r="BG26" s="1"/>
  <c r="BH19"/>
  <c r="R21"/>
  <c r="R26" s="1"/>
  <c r="AN26"/>
  <c r="AZ21"/>
  <c r="AZ26" s="1"/>
  <c r="BA21"/>
  <c r="BA26" s="1"/>
  <c r="BB21"/>
  <c r="BB26" s="1"/>
  <c r="G23"/>
  <c r="M23"/>
  <c r="S23"/>
  <c r="Y23"/>
  <c r="AE23"/>
  <c r="AK23"/>
  <c r="AQ23"/>
  <c r="AW23"/>
  <c r="BC23"/>
  <c r="BI23"/>
  <c r="G25"/>
  <c r="M25"/>
  <c r="S25"/>
  <c r="Y25"/>
  <c r="AE25"/>
  <c r="AK25"/>
  <c r="AQ25"/>
  <c r="AW25"/>
  <c r="BC25"/>
  <c r="BI25"/>
  <c r="G30"/>
  <c r="Y30"/>
  <c r="AE31"/>
  <c r="G32"/>
  <c r="M32"/>
  <c r="S32"/>
  <c r="Y32"/>
  <c r="AE32"/>
  <c r="AK32"/>
  <c r="AQ32"/>
  <c r="AW32"/>
  <c r="BC32"/>
  <c r="BI32"/>
  <c r="C9" i="2"/>
  <c r="D9"/>
  <c r="E9"/>
  <c r="F9"/>
  <c r="H9"/>
  <c r="I9"/>
  <c r="J9"/>
  <c r="K9"/>
  <c r="M9"/>
  <c r="N9"/>
  <c r="O9"/>
  <c r="P9"/>
  <c r="R9"/>
  <c r="S9"/>
  <c r="T9"/>
  <c r="U9"/>
  <c r="W9"/>
  <c r="X9"/>
  <c r="Y9"/>
  <c r="Z9"/>
  <c r="AB9"/>
  <c r="AC9"/>
  <c r="AD9"/>
  <c r="AE9"/>
  <c r="AG9"/>
  <c r="AH9"/>
  <c r="AI9"/>
  <c r="AJ9"/>
  <c r="AL9"/>
  <c r="AM9"/>
  <c r="AN9"/>
  <c r="AO9"/>
  <c r="AQ9"/>
  <c r="AR9"/>
  <c r="AS9"/>
  <c r="AT9"/>
  <c r="AV9"/>
  <c r="AW9"/>
  <c r="AX9"/>
  <c r="AY9"/>
  <c r="C16"/>
  <c r="D16"/>
  <c r="E16"/>
  <c r="F16"/>
  <c r="H16"/>
  <c r="I16"/>
  <c r="J16"/>
  <c r="K16"/>
  <c r="M16"/>
  <c r="N16"/>
  <c r="O16"/>
  <c r="P16"/>
  <c r="R16"/>
  <c r="S16"/>
  <c r="T16"/>
  <c r="U16"/>
  <c r="W16"/>
  <c r="X16"/>
  <c r="Y16"/>
  <c r="Z16"/>
  <c r="AB16"/>
  <c r="AC16"/>
  <c r="AD16"/>
  <c r="AE16"/>
  <c r="AG16"/>
  <c r="AH16"/>
  <c r="AI16"/>
  <c r="AJ16"/>
  <c r="AL16"/>
  <c r="AM16"/>
  <c r="AN16"/>
  <c r="AO16"/>
  <c r="AQ16"/>
  <c r="AR16"/>
  <c r="AS16"/>
  <c r="AT16"/>
  <c r="AV16"/>
  <c r="AW16"/>
  <c r="AX16"/>
  <c r="AY16"/>
  <c r="C18"/>
  <c r="D18"/>
  <c r="E18"/>
  <c r="F18"/>
  <c r="H18"/>
  <c r="I18"/>
  <c r="J18"/>
  <c r="K18"/>
  <c r="M18"/>
  <c r="N18"/>
  <c r="O18"/>
  <c r="P18"/>
  <c r="R18"/>
  <c r="S18"/>
  <c r="T18"/>
  <c r="U18"/>
  <c r="W18"/>
  <c r="X18"/>
  <c r="Y18"/>
  <c r="Z18"/>
  <c r="AB18"/>
  <c r="AC18"/>
  <c r="AD18"/>
  <c r="AE18"/>
  <c r="AG18"/>
  <c r="AH18"/>
  <c r="AI18"/>
  <c r="AJ18"/>
  <c r="AL18"/>
  <c r="AM18"/>
  <c r="AN18"/>
  <c r="AO18"/>
  <c r="AQ18"/>
  <c r="AR18"/>
  <c r="AS18"/>
  <c r="AT18"/>
  <c r="AV18"/>
  <c r="AY18"/>
  <c r="AB21"/>
  <c r="AB23" s="1"/>
  <c r="AB28" s="1"/>
  <c r="W23"/>
  <c r="X23"/>
  <c r="Y23"/>
  <c r="Y28" s="1"/>
  <c r="Z23"/>
  <c r="AC23"/>
  <c r="AD23"/>
  <c r="AD28" s="1"/>
  <c r="AE23"/>
  <c r="AG23"/>
  <c r="AG28"/>
  <c r="AH23"/>
  <c r="AH28"/>
  <c r="AI23"/>
  <c r="AI28"/>
  <c r="AJ23"/>
  <c r="AL23"/>
  <c r="AL28" s="1"/>
  <c r="AM23"/>
  <c r="AM28" s="1"/>
  <c r="AN23"/>
  <c r="AN28" s="1"/>
  <c r="AO23"/>
  <c r="AQ23"/>
  <c r="AQ28"/>
  <c r="AR23"/>
  <c r="AR28"/>
  <c r="AS23"/>
  <c r="AT23"/>
  <c r="AV23"/>
  <c r="AV28"/>
  <c r="AW23"/>
  <c r="AX23"/>
  <c r="AX28" s="1"/>
  <c r="AY23"/>
  <c r="AY28" s="1"/>
  <c r="W24"/>
  <c r="W28" s="1"/>
  <c r="X24"/>
  <c r="Y24"/>
  <c r="AB24"/>
  <c r="AC24"/>
  <c r="AC28"/>
  <c r="AS24"/>
  <c r="AS28"/>
  <c r="AT24"/>
  <c r="AW24"/>
  <c r="AW28" s="1"/>
  <c r="AO27"/>
  <c r="AT27"/>
  <c r="AW27"/>
  <c r="M28"/>
  <c r="N28"/>
  <c r="O28"/>
  <c r="P28"/>
  <c r="R28"/>
  <c r="S28"/>
  <c r="T28"/>
  <c r="U28"/>
  <c r="X28"/>
  <c r="Z28"/>
  <c r="AE28"/>
  <c r="AJ28"/>
  <c r="AO28"/>
  <c r="C37"/>
  <c r="R37"/>
  <c r="W37"/>
  <c r="R42"/>
  <c r="S35" s="1"/>
  <c r="S37" s="1"/>
  <c r="S42" s="1"/>
  <c r="T35" s="1"/>
  <c r="T37" s="1"/>
  <c r="T42" s="1"/>
  <c r="U35" s="1"/>
  <c r="U37" s="1"/>
  <c r="U42" s="1"/>
  <c r="G5" i="1"/>
  <c r="M5"/>
  <c r="S5"/>
  <c r="W5"/>
  <c r="Y5" s="1"/>
  <c r="AE5"/>
  <c r="AK5"/>
  <c r="AW5"/>
  <c r="BC5"/>
  <c r="BI5"/>
  <c r="G7"/>
  <c r="M7"/>
  <c r="S7"/>
  <c r="AE7"/>
  <c r="AK7"/>
  <c r="AQ7"/>
  <c r="AW7"/>
  <c r="BC7"/>
  <c r="BI7"/>
  <c r="C8"/>
  <c r="C11"/>
  <c r="D8"/>
  <c r="D11"/>
  <c r="D14" s="1"/>
  <c r="D16" s="1"/>
  <c r="D19" s="1"/>
  <c r="D21" s="1"/>
  <c r="D38" i="2" s="1"/>
  <c r="E8" i="1"/>
  <c r="G8"/>
  <c r="F8"/>
  <c r="F11"/>
  <c r="I8"/>
  <c r="J8"/>
  <c r="K8"/>
  <c r="L8"/>
  <c r="O8"/>
  <c r="P8"/>
  <c r="P11" s="1"/>
  <c r="P14" s="1"/>
  <c r="P16" s="1"/>
  <c r="P19" s="1"/>
  <c r="P21" s="1"/>
  <c r="Q8"/>
  <c r="R8"/>
  <c r="R11"/>
  <c r="U8"/>
  <c r="V8"/>
  <c r="V11" s="1"/>
  <c r="V14" s="1"/>
  <c r="V16" s="1"/>
  <c r="V19" s="1"/>
  <c r="V21" s="1"/>
  <c r="W8"/>
  <c r="X8"/>
  <c r="AE8"/>
  <c r="AK8"/>
  <c r="AQ8"/>
  <c r="AW8"/>
  <c r="BC8"/>
  <c r="BI8"/>
  <c r="Y9"/>
  <c r="AE9"/>
  <c r="AK9"/>
  <c r="AQ9"/>
  <c r="AW9"/>
  <c r="BC9"/>
  <c r="BI9"/>
  <c r="G10"/>
  <c r="L10"/>
  <c r="M10"/>
  <c r="S10"/>
  <c r="Y10"/>
  <c r="AE10"/>
  <c r="AK10"/>
  <c r="AQ10"/>
  <c r="AW10"/>
  <c r="BC10"/>
  <c r="BI10"/>
  <c r="E11"/>
  <c r="I11"/>
  <c r="K11"/>
  <c r="O11"/>
  <c r="Q11"/>
  <c r="U11"/>
  <c r="AA11"/>
  <c r="AB11"/>
  <c r="AC11"/>
  <c r="AD11"/>
  <c r="AG11"/>
  <c r="AH11"/>
  <c r="AH14"/>
  <c r="AI11"/>
  <c r="AJ11"/>
  <c r="AM11"/>
  <c r="AN11"/>
  <c r="AO11"/>
  <c r="AP11"/>
  <c r="AS11"/>
  <c r="AS14"/>
  <c r="AS16"/>
  <c r="AS19"/>
  <c r="AS21" s="1"/>
  <c r="AT11"/>
  <c r="AU11"/>
  <c r="AU14"/>
  <c r="AU16" s="1"/>
  <c r="AU19" s="1"/>
  <c r="AU21" s="1"/>
  <c r="AV11"/>
  <c r="AW11"/>
  <c r="AY11"/>
  <c r="AZ11"/>
  <c r="AZ14"/>
  <c r="AZ16"/>
  <c r="AZ19"/>
  <c r="AZ21"/>
  <c r="BA11"/>
  <c r="BB11"/>
  <c r="BB14"/>
  <c r="BB16"/>
  <c r="BB19"/>
  <c r="BB21"/>
  <c r="BE11"/>
  <c r="BE14"/>
  <c r="BE16"/>
  <c r="BE19"/>
  <c r="BE21" s="1"/>
  <c r="BF11"/>
  <c r="BG11"/>
  <c r="BG14"/>
  <c r="BG16" s="1"/>
  <c r="BG19" s="1"/>
  <c r="BG21" s="1"/>
  <c r="BH11"/>
  <c r="BH14" s="1"/>
  <c r="BH16" s="1"/>
  <c r="BH19" s="1"/>
  <c r="BH21" s="1"/>
  <c r="C12"/>
  <c r="D12"/>
  <c r="E12"/>
  <c r="G12" s="1"/>
  <c r="G14" s="1"/>
  <c r="G16" s="1"/>
  <c r="G19" s="1"/>
  <c r="G21" s="1"/>
  <c r="F12"/>
  <c r="I12"/>
  <c r="J12"/>
  <c r="K12"/>
  <c r="K14" s="1"/>
  <c r="K16" s="1"/>
  <c r="K19" s="1"/>
  <c r="K21" s="1"/>
  <c r="J38" i="2" s="1"/>
  <c r="L12" i="1"/>
  <c r="O12"/>
  <c r="P12"/>
  <c r="Q12"/>
  <c r="R12"/>
  <c r="Y12"/>
  <c r="AE12"/>
  <c r="AK12"/>
  <c r="AQ12"/>
  <c r="AW12"/>
  <c r="BC12"/>
  <c r="BI12"/>
  <c r="G13"/>
  <c r="L13"/>
  <c r="M13"/>
  <c r="S13"/>
  <c r="Y13"/>
  <c r="AE13"/>
  <c r="AK13"/>
  <c r="AQ13"/>
  <c r="AW13"/>
  <c r="AW14"/>
  <c r="BC13"/>
  <c r="BI13"/>
  <c r="Q14"/>
  <c r="Q16"/>
  <c r="Q19"/>
  <c r="Q21" s="1"/>
  <c r="U14"/>
  <c r="U16" s="1"/>
  <c r="U19" s="1"/>
  <c r="U21" s="1"/>
  <c r="AA14"/>
  <c r="AA16"/>
  <c r="AA19"/>
  <c r="W38" i="2" s="1"/>
  <c r="W42" s="1"/>
  <c r="X35" s="1"/>
  <c r="X37" s="1"/>
  <c r="AB14" i="1"/>
  <c r="AC14"/>
  <c r="AC16"/>
  <c r="AC19" s="1"/>
  <c r="AD14"/>
  <c r="AD16"/>
  <c r="AD19" s="1"/>
  <c r="AG14"/>
  <c r="AG16"/>
  <c r="AG19" s="1"/>
  <c r="AG21" s="1"/>
  <c r="AI14"/>
  <c r="AI16"/>
  <c r="AI19" s="1"/>
  <c r="AI21" s="1"/>
  <c r="AJ14"/>
  <c r="AJ16"/>
  <c r="AJ19" s="1"/>
  <c r="AJ21" s="1"/>
  <c r="AM14"/>
  <c r="AN14"/>
  <c r="AN16"/>
  <c r="AN19" s="1"/>
  <c r="AN21" s="1"/>
  <c r="AO14"/>
  <c r="AP14"/>
  <c r="AP16" s="1"/>
  <c r="AP19" s="1"/>
  <c r="AP21" s="1"/>
  <c r="AT14"/>
  <c r="AT16" s="1"/>
  <c r="AT19" s="1"/>
  <c r="AT21" s="1"/>
  <c r="AV14"/>
  <c r="AV16" s="1"/>
  <c r="AV19" s="1"/>
  <c r="AV21" s="1"/>
  <c r="AY14"/>
  <c r="AY16" s="1"/>
  <c r="AY19" s="1"/>
  <c r="AY21" s="1"/>
  <c r="BA14"/>
  <c r="BA16" s="1"/>
  <c r="BA19" s="1"/>
  <c r="BA21" s="1"/>
  <c r="BF14"/>
  <c r="BF16" s="1"/>
  <c r="BF19" s="1"/>
  <c r="BF21" s="1"/>
  <c r="G15"/>
  <c r="M15"/>
  <c r="S15"/>
  <c r="Y15"/>
  <c r="AE15"/>
  <c r="AK15"/>
  <c r="AQ15"/>
  <c r="AW15"/>
  <c r="BC15"/>
  <c r="BI15"/>
  <c r="AB16"/>
  <c r="AB19"/>
  <c r="AH16"/>
  <c r="AH19"/>
  <c r="AM16"/>
  <c r="AO16"/>
  <c r="AE17"/>
  <c r="AK17"/>
  <c r="AQ17"/>
  <c r="AW17"/>
  <c r="BC17"/>
  <c r="BI17"/>
  <c r="G18"/>
  <c r="M18"/>
  <c r="S18"/>
  <c r="Y18"/>
  <c r="AE18"/>
  <c r="AK18"/>
  <c r="AQ18"/>
  <c r="AW18"/>
  <c r="BC18"/>
  <c r="BI18"/>
  <c r="X38" i="2"/>
  <c r="AH21" i="1"/>
  <c r="AM19"/>
  <c r="AM21"/>
  <c r="AO19"/>
  <c r="AO21" s="1"/>
  <c r="G20"/>
  <c r="M20"/>
  <c r="S20"/>
  <c r="Y20"/>
  <c r="AE20"/>
  <c r="AK20"/>
  <c r="AQ20"/>
  <c r="AW20"/>
  <c r="BC20"/>
  <c r="BI20"/>
  <c r="P24"/>
  <c r="Q24"/>
  <c r="AH24"/>
  <c r="AY24"/>
  <c r="BB24"/>
  <c r="C30"/>
  <c r="D30"/>
  <c r="E30"/>
  <c r="F30"/>
  <c r="I30"/>
  <c r="J30"/>
  <c r="K30"/>
  <c r="L30"/>
  <c r="C32"/>
  <c r="D32"/>
  <c r="E32"/>
  <c r="F32"/>
  <c r="I32"/>
  <c r="J32"/>
  <c r="K32"/>
  <c r="L32"/>
  <c r="G36"/>
  <c r="M36"/>
  <c r="S36"/>
  <c r="Y36"/>
  <c r="AE36"/>
  <c r="AK36"/>
  <c r="AQ36"/>
  <c r="AW36"/>
  <c r="BC36"/>
  <c r="G37"/>
  <c r="M37"/>
  <c r="S37"/>
  <c r="Y37"/>
  <c r="AE37"/>
  <c r="AK37"/>
  <c r="AQ37"/>
  <c r="AW37"/>
  <c r="BC37"/>
  <c r="G43"/>
  <c r="M43"/>
  <c r="S43"/>
  <c r="Y43"/>
  <c r="AE43"/>
  <c r="AK43"/>
  <c r="AQ43"/>
  <c r="AW43"/>
  <c r="BC43"/>
  <c r="G44"/>
  <c r="M44"/>
  <c r="S44"/>
  <c r="Y44"/>
  <c r="AE44"/>
  <c r="AK44"/>
  <c r="AQ44"/>
  <c r="AW44"/>
  <c r="BC44"/>
  <c r="BI44"/>
  <c r="AW18" i="2"/>
  <c r="AX18"/>
  <c r="BG24" i="1"/>
  <c r="BF69" i="4"/>
  <c r="G40"/>
  <c r="BG69"/>
  <c r="G37"/>
  <c r="I29" i="6"/>
  <c r="BH31" i="4"/>
  <c r="L58"/>
  <c r="E58"/>
  <c r="BA19" i="6"/>
  <c r="BA26" s="1"/>
  <c r="AM10" i="7" s="1"/>
  <c r="AM4" s="1"/>
  <c r="AT19" i="6"/>
  <c r="AT26" s="1"/>
  <c r="AG10" i="7" s="1"/>
  <c r="AG4" s="1"/>
  <c r="AH19" i="6"/>
  <c r="AH26" s="1"/>
  <c r="W10" i="7" s="1"/>
  <c r="AC19" i="6"/>
  <c r="AC26" s="1"/>
  <c r="W19"/>
  <c r="W26" s="1"/>
  <c r="W28" s="1"/>
  <c r="W30" s="1"/>
  <c r="U19"/>
  <c r="U26" s="1"/>
  <c r="L10" i="7" s="1"/>
  <c r="P19" i="6"/>
  <c r="P26" s="1"/>
  <c r="AA19"/>
  <c r="AA26" s="1"/>
  <c r="AA28" s="1"/>
  <c r="AA30" s="1"/>
  <c r="V19"/>
  <c r="V26" s="1"/>
  <c r="Q19"/>
  <c r="Q26" s="1"/>
  <c r="O19"/>
  <c r="O26" s="1"/>
  <c r="AY19"/>
  <c r="AY26" s="1"/>
  <c r="AS19"/>
  <c r="AS26" s="1"/>
  <c r="AG19"/>
  <c r="AG26" s="1"/>
  <c r="AM19"/>
  <c r="AM26" s="1"/>
  <c r="AC12" i="7"/>
  <c r="AA12"/>
  <c r="W12"/>
  <c r="T12"/>
  <c r="S12"/>
  <c r="Q12"/>
  <c r="N12"/>
  <c r="L12"/>
  <c r="H12"/>
  <c r="E12"/>
  <c r="D12"/>
  <c r="B12"/>
  <c r="AF12"/>
  <c r="AB12"/>
  <c r="Y12"/>
  <c r="X12"/>
  <c r="V12"/>
  <c r="R12"/>
  <c r="O12"/>
  <c r="M12"/>
  <c r="J12"/>
  <c r="I12"/>
  <c r="G12"/>
  <c r="C12"/>
  <c r="M40" i="4"/>
  <c r="M35"/>
  <c r="M44"/>
  <c r="AQ16"/>
  <c r="AQ31"/>
  <c r="G57"/>
  <c r="M38"/>
  <c r="G38"/>
  <c r="M36"/>
  <c r="M46"/>
  <c r="AQ17"/>
  <c r="AQ24" i="1"/>
  <c r="AW16" i="4"/>
  <c r="AW31"/>
  <c r="BH12" i="3"/>
  <c r="BI36" i="1"/>
  <c r="BI12" i="3"/>
  <c r="BH32" i="4"/>
  <c r="BI8"/>
  <c r="BI7"/>
  <c r="BH14"/>
  <c r="BH30"/>
  <c r="S28"/>
  <c r="R19" i="6"/>
  <c r="R26" s="1"/>
  <c r="E28" i="4"/>
  <c r="O17"/>
  <c r="O24" i="1" s="1"/>
  <c r="BI11" i="4"/>
  <c r="BI14" s="1"/>
  <c r="AN12" i="7" s="1"/>
  <c r="E29" i="4"/>
  <c r="BH17"/>
  <c r="BH24" i="1" s="1"/>
  <c r="BH29" i="4"/>
  <c r="BI30"/>
  <c r="AN19" i="6"/>
  <c r="AN26" s="1"/>
  <c r="AN38" s="1"/>
  <c r="G25" i="4"/>
  <c r="S14"/>
  <c r="S17" s="1"/>
  <c r="S24" i="1" s="1"/>
  <c r="AW16"/>
  <c r="AW19"/>
  <c r="AW21" s="1"/>
  <c r="G19" i="3"/>
  <c r="Y12"/>
  <c r="AO69" i="4"/>
  <c r="R69"/>
  <c r="J42"/>
  <c r="D42"/>
  <c r="AI19" i="6"/>
  <c r="AI26" s="1"/>
  <c r="X10" i="7" s="1"/>
  <c r="AV24" i="1"/>
  <c r="BC11"/>
  <c r="BC14" s="1"/>
  <c r="BC16" s="1"/>
  <c r="BC19" s="1"/>
  <c r="BC21" s="1"/>
  <c r="AQ11"/>
  <c r="AQ14"/>
  <c r="AQ16" s="1"/>
  <c r="AQ19" s="1"/>
  <c r="AQ21" s="1"/>
  <c r="Y8"/>
  <c r="F14"/>
  <c r="F16"/>
  <c r="F19" s="1"/>
  <c r="F21" s="1"/>
  <c r="F38" i="2" s="1"/>
  <c r="F29" i="6"/>
  <c r="Y14" i="4"/>
  <c r="S29"/>
  <c r="X11" i="1"/>
  <c r="X14"/>
  <c r="X16" s="1"/>
  <c r="X19" s="1"/>
  <c r="X21" s="1"/>
  <c r="L11"/>
  <c r="L14" s="1"/>
  <c r="L16" s="1"/>
  <c r="L19" s="1"/>
  <c r="L21" s="1"/>
  <c r="K38" i="2" s="1"/>
  <c r="BE69" i="4"/>
  <c r="AT69"/>
  <c r="AJ69"/>
  <c r="U69"/>
  <c r="Y42"/>
  <c r="Y43" s="1"/>
  <c r="AJ17"/>
  <c r="G14"/>
  <c r="S8" i="1"/>
  <c r="S11" s="1"/>
  <c r="S14" s="1"/>
  <c r="S16" s="1"/>
  <c r="S19" s="1"/>
  <c r="S21" s="1"/>
  <c r="G11"/>
  <c r="BC58" i="4"/>
  <c r="BB69"/>
  <c r="AQ58"/>
  <c r="AP69"/>
  <c r="S58"/>
  <c r="F42"/>
  <c r="K42"/>
  <c r="J43"/>
  <c r="AY69"/>
  <c r="G55"/>
  <c r="G58" s="1"/>
  <c r="F43"/>
  <c r="BA18" i="2"/>
  <c r="BC18"/>
  <c r="BB18"/>
  <c r="BK29" i="4"/>
  <c r="BO11" i="1"/>
  <c r="BO14" s="1"/>
  <c r="BO16" s="1"/>
  <c r="BO19" s="1"/>
  <c r="BO21" s="1"/>
  <c r="BL17" i="4"/>
  <c r="BL24" i="1"/>
  <c r="BL21" i="3"/>
  <c r="BL26"/>
  <c r="AQ19"/>
  <c r="BM21"/>
  <c r="BM26" s="1"/>
  <c r="BO19"/>
  <c r="BN21"/>
  <c r="BN26"/>
  <c r="AB21" i="1"/>
  <c r="BK17" i="4"/>
  <c r="AP13" i="7" s="1"/>
  <c r="BG14" i="6"/>
  <c r="BG17" s="1"/>
  <c r="BN45" i="1"/>
  <c r="AZ19" i="6"/>
  <c r="AZ26" s="1"/>
  <c r="AZ28" s="1"/>
  <c r="AZ30" s="1"/>
  <c r="BM69" i="4"/>
  <c r="BU58"/>
  <c r="BT69" s="1"/>
  <c r="BH18" i="2"/>
  <c r="BU14" i="4"/>
  <c r="AX12" i="7"/>
  <c r="BQ17" i="4"/>
  <c r="BQ24" i="1"/>
  <c r="BN17" i="4"/>
  <c r="BN29"/>
  <c r="BN24" i="1"/>
  <c r="BG28" i="2"/>
  <c r="AK29" i="4"/>
  <c r="S45"/>
  <c r="BR11" i="1"/>
  <c r="BR14" s="1"/>
  <c r="BR16" s="1"/>
  <c r="BR19" s="1"/>
  <c r="BS17" i="4"/>
  <c r="BS24" i="1" s="1"/>
  <c r="AZ69" i="4"/>
  <c r="S42"/>
  <c r="BG19" i="6"/>
  <c r="BG26" s="1"/>
  <c r="AB19"/>
  <c r="AB26" s="1"/>
  <c r="BK19"/>
  <c r="BK26" s="1"/>
  <c r="BS5" i="1"/>
  <c r="BE19" i="6"/>
  <c r="BE26" s="1"/>
  <c r="BR29" i="4"/>
  <c r="BQ7" i="1"/>
  <c r="BQ7" i="3" s="1"/>
  <c r="BS7" i="1"/>
  <c r="BS11" s="1"/>
  <c r="BS14" s="1"/>
  <c r="BS16" s="1"/>
  <c r="BS19" s="1"/>
  <c r="BR5"/>
  <c r="AA21"/>
  <c r="G44" i="4"/>
  <c r="AM24" i="1"/>
  <c r="BC30" i="4"/>
  <c r="BC14"/>
  <c r="G39"/>
  <c r="Q10" i="7"/>
  <c r="AI12"/>
  <c r="AL10"/>
  <c r="AL4" s="1"/>
  <c r="W14" i="6"/>
  <c r="W17" s="1"/>
  <c r="K14"/>
  <c r="K17" s="1"/>
  <c r="AF10" i="7"/>
  <c r="AF4" s="1"/>
  <c r="BT29" i="4"/>
  <c r="BT17"/>
  <c r="BT24" i="1"/>
  <c r="G10" i="7"/>
  <c r="O14" i="1"/>
  <c r="O16" s="1"/>
  <c r="O19" s="1"/>
  <c r="O21" s="1"/>
  <c r="S12"/>
  <c r="I14"/>
  <c r="I16"/>
  <c r="I19" s="1"/>
  <c r="I21" s="1"/>
  <c r="H38" i="2" s="1"/>
  <c r="M12" i="1"/>
  <c r="J11"/>
  <c r="J14"/>
  <c r="J16" s="1"/>
  <c r="J19" s="1"/>
  <c r="J21" s="1"/>
  <c r="I38" i="2" s="1"/>
  <c r="M8" i="1"/>
  <c r="M11"/>
  <c r="M14" s="1"/>
  <c r="M16" s="1"/>
  <c r="M19" s="1"/>
  <c r="M21" s="1"/>
  <c r="C28" i="4"/>
  <c r="C29"/>
  <c r="G27"/>
  <c r="G28"/>
  <c r="M23"/>
  <c r="M28"/>
  <c r="I28"/>
  <c r="AZ24" i="1"/>
  <c r="AT17" i="4"/>
  <c r="AT31"/>
  <c r="AP24" i="1"/>
  <c r="AI31" i="4"/>
  <c r="AK16"/>
  <c r="AD31"/>
  <c r="AE16"/>
  <c r="BE17"/>
  <c r="AM12" i="7"/>
  <c r="BA17" i="4"/>
  <c r="BA29"/>
  <c r="AH12" i="7"/>
  <c r="BM17" i="4"/>
  <c r="AR12" i="7"/>
  <c r="BR17" i="4"/>
  <c r="AW12" i="7"/>
  <c r="BU30" i="4"/>
  <c r="BU31"/>
  <c r="K43"/>
  <c r="AJ24" i="1"/>
  <c r="D43" i="4"/>
  <c r="AK10" i="7"/>
  <c r="AK4" s="1"/>
  <c r="AN69" i="4"/>
  <c r="AM69"/>
  <c r="I37"/>
  <c r="I58"/>
  <c r="M53"/>
  <c r="AW58"/>
  <c r="AV69"/>
  <c r="AV71"/>
  <c r="W43"/>
  <c r="X69"/>
  <c r="W69"/>
  <c r="BQ69"/>
  <c r="BL69"/>
  <c r="G42"/>
  <c r="G43"/>
  <c r="E14" i="1"/>
  <c r="E16"/>
  <c r="E19" s="1"/>
  <c r="E21" s="1"/>
  <c r="E38" i="2" s="1"/>
  <c r="AQ21" i="3"/>
  <c r="AQ26" s="1"/>
  <c r="BD18" i="2"/>
  <c r="BI18"/>
  <c r="BT45" i="1"/>
  <c r="AN28" i="6"/>
  <c r="AN30" s="1"/>
  <c r="AZ38"/>
  <c r="AV12" i="7"/>
  <c r="BL19" i="6"/>
  <c r="BL26" s="1"/>
  <c r="AP12" i="7"/>
  <c r="S43" i="4"/>
  <c r="BU28"/>
  <c r="AU12" i="7"/>
  <c r="AW17" i="4"/>
  <c r="AW24" i="1" s="1"/>
  <c r="BM29" i="4"/>
  <c r="BO30"/>
  <c r="BO32"/>
  <c r="AT29"/>
  <c r="AK12" i="7"/>
  <c r="AU19" i="6"/>
  <c r="AU26" s="1"/>
  <c r="AQ13" i="7"/>
  <c r="AQ12"/>
  <c r="BI32" i="4"/>
  <c r="BH21" i="3"/>
  <c r="BH26"/>
  <c r="AL12" i="7"/>
  <c r="R14" i="1"/>
  <c r="R16"/>
  <c r="R19" s="1"/>
  <c r="R21" s="1"/>
  <c r="AU69" i="4"/>
  <c r="AS69"/>
  <c r="BI58"/>
  <c r="BH69" s="1"/>
  <c r="Y58"/>
  <c r="AE58"/>
  <c r="BG29"/>
  <c r="BE29"/>
  <c r="S31"/>
  <c r="BM19" i="6"/>
  <c r="BM26" s="1"/>
  <c r="AW10" i="7" s="1"/>
  <c r="AW4" s="1"/>
  <c r="BS69" i="4"/>
  <c r="AK14" i="3"/>
  <c r="AK19" s="1"/>
  <c r="AG19"/>
  <c r="AG21" s="1"/>
  <c r="AG26" s="1"/>
  <c r="J46" i="4"/>
  <c r="K71"/>
  <c r="O71"/>
  <c r="K70"/>
  <c r="O70"/>
  <c r="W29"/>
  <c r="W7" i="1"/>
  <c r="AO17" i="4"/>
  <c r="AO31"/>
  <c r="AG12" i="7"/>
  <c r="AZ29" i="4"/>
  <c r="AU17"/>
  <c r="AF13" i="7" s="1"/>
  <c r="AU29" i="4"/>
  <c r="AN17"/>
  <c r="AN5" i="1"/>
  <c r="AQ5" s="1"/>
  <c r="BQ45"/>
  <c r="BK14" i="6"/>
  <c r="BK17" s="1"/>
  <c r="BS45" i="1"/>
  <c r="BM14" i="6"/>
  <c r="BM17"/>
  <c r="BI11" i="1"/>
  <c r="BI14"/>
  <c r="BI16" s="1"/>
  <c r="BI19" s="1"/>
  <c r="BI21" s="1"/>
  <c r="AK11"/>
  <c r="AK14" s="1"/>
  <c r="AK16" s="1"/>
  <c r="AK19" s="1"/>
  <c r="AK21" s="1"/>
  <c r="C14"/>
  <c r="C16"/>
  <c r="C19" s="1"/>
  <c r="C21" s="1"/>
  <c r="C38" i="2" s="1"/>
  <c r="C42" s="1"/>
  <c r="AE11" i="1"/>
  <c r="AE14" s="1"/>
  <c r="AE16" s="1"/>
  <c r="AE19" s="1"/>
  <c r="AE21" s="1"/>
  <c r="AT28" i="2"/>
  <c r="BC19" i="3"/>
  <c r="BC21" s="1"/>
  <c r="BC26" s="1"/>
  <c r="BF21"/>
  <c r="BF26"/>
  <c r="AJ21"/>
  <c r="AJ26"/>
  <c r="AH21"/>
  <c r="AH26"/>
  <c r="Q21"/>
  <c r="Q26"/>
  <c r="O21"/>
  <c r="O26"/>
  <c r="E42" i="4"/>
  <c r="AI17"/>
  <c r="AI24" i="1" s="1"/>
  <c r="AD17" i="4"/>
  <c r="AD24" i="1" s="1"/>
  <c r="AG14" i="6"/>
  <c r="AG17" s="1"/>
  <c r="BR69" i="4"/>
  <c r="Y7" i="1"/>
  <c r="Y11" s="1"/>
  <c r="Y14" s="1"/>
  <c r="Y16" s="1"/>
  <c r="Y19" s="1"/>
  <c r="Y21" s="1"/>
  <c r="W11"/>
  <c r="W14" s="1"/>
  <c r="W16" s="1"/>
  <c r="W19" s="1"/>
  <c r="W21" s="1"/>
  <c r="BN19" i="6"/>
  <c r="BN26"/>
  <c r="BU29" i="4"/>
  <c r="AL13" i="7"/>
  <c r="BA24" i="1"/>
  <c r="AH13" i="7"/>
  <c r="BI17" i="4"/>
  <c r="AK13" i="7"/>
  <c r="AM13"/>
  <c r="BE24" i="1"/>
  <c r="AT24"/>
  <c r="AB13" i="7"/>
  <c r="I29" i="4"/>
  <c r="K19" i="6"/>
  <c r="K26" s="1"/>
  <c r="J19"/>
  <c r="J26" s="1"/>
  <c r="C10" i="7" s="1"/>
  <c r="I19" i="6"/>
  <c r="I26"/>
  <c r="B10" i="7" s="1"/>
  <c r="G29" i="4"/>
  <c r="F19" i="6"/>
  <c r="F26" s="1"/>
  <c r="AD13" i="7"/>
  <c r="V13"/>
  <c r="BC17" i="4"/>
  <c r="E43"/>
  <c r="W13" i="7"/>
  <c r="AN24" i="1"/>
  <c r="AU24"/>
  <c r="AC13" i="7"/>
  <c r="X13"/>
  <c r="AO24" i="1"/>
  <c r="AA13" i="7"/>
  <c r="BM38" i="6"/>
  <c r="I42" i="4"/>
  <c r="I69" s="1"/>
  <c r="BR24" i="1"/>
  <c r="AV13" i="7"/>
  <c r="BU17" i="4"/>
  <c r="AW13" i="7"/>
  <c r="AR13"/>
  <c r="AU13"/>
  <c r="BM24" i="1"/>
  <c r="BO17" i="4"/>
  <c r="BO24" i="1" s="1"/>
  <c r="AE17" i="4"/>
  <c r="AE24" i="1"/>
  <c r="AE31" i="4"/>
  <c r="AK31"/>
  <c r="AK17"/>
  <c r="AK24" i="1"/>
  <c r="M29" i="4"/>
  <c r="L19" i="6"/>
  <c r="L26" s="1"/>
  <c r="T13" i="7"/>
  <c r="Y13"/>
  <c r="AG13"/>
  <c r="AS13"/>
  <c r="AX10"/>
  <c r="AX4" s="1"/>
  <c r="BN38" i="6"/>
  <c r="AX13" i="7"/>
  <c r="BU24" i="1"/>
  <c r="I43" i="4"/>
  <c r="K69"/>
  <c r="AI13" i="7"/>
  <c r="BC24" i="1"/>
  <c r="AN13" i="7"/>
  <c r="BI24" i="1"/>
  <c r="J69" i="4"/>
  <c r="BS30" i="6"/>
  <c r="CA29" i="4"/>
  <c r="BT26" i="6"/>
  <c r="BN42" i="2"/>
  <c r="CA7" i="3"/>
  <c r="CA12"/>
  <c r="CA21" s="1"/>
  <c r="CA26" s="1"/>
  <c r="BW21"/>
  <c r="BW26"/>
  <c r="BW36" i="1"/>
  <c r="BZ33" i="3"/>
  <c r="BT30" i="6"/>
  <c r="BX21" i="3"/>
  <c r="BX26" s="1"/>
  <c r="K28" i="6" l="1"/>
  <c r="D10" i="7"/>
  <c r="D12" i="3"/>
  <c r="D21" s="1"/>
  <c r="D26" s="1"/>
  <c r="D33" s="1"/>
  <c r="E30" s="1"/>
  <c r="CA7" i="1"/>
  <c r="CA11" s="1"/>
  <c r="CA14" s="1"/>
  <c r="CA16" s="1"/>
  <c r="CA19" s="1"/>
  <c r="CA21" s="1"/>
  <c r="F28" i="6"/>
  <c r="F35" s="1"/>
  <c r="BM28"/>
  <c r="M8" i="3"/>
  <c r="BQ11" i="1"/>
  <c r="BQ14" s="1"/>
  <c r="BQ16" s="1"/>
  <c r="BQ19" s="1"/>
  <c r="AB28" i="6"/>
  <c r="AG28"/>
  <c r="AG30" s="1"/>
  <c r="AG34" s="1"/>
  <c r="X42" i="2"/>
  <c r="Y35" s="1"/>
  <c r="Y37" s="1"/>
  <c r="AC12" i="3"/>
  <c r="AC21" s="1"/>
  <c r="AC26" s="1"/>
  <c r="I28" i="6"/>
  <c r="I30" s="1"/>
  <c r="BS7" i="3"/>
  <c r="BS12" s="1"/>
  <c r="R28" i="6"/>
  <c r="R30" s="1"/>
  <c r="AN35"/>
  <c r="CA37" i="1"/>
  <c r="AV19" i="6"/>
  <c r="AV26" s="1"/>
  <c r="AV38" s="1"/>
  <c r="BC29" i="4"/>
  <c r="Y29"/>
  <c r="X19" i="6"/>
  <c r="X26" s="1"/>
  <c r="AJ19"/>
  <c r="AJ26" s="1"/>
  <c r="AQ29" i="4"/>
  <c r="BI29"/>
  <c r="BB19" i="6"/>
  <c r="BB26" s="1"/>
  <c r="BH19"/>
  <c r="BH26" s="1"/>
  <c r="AS10" i="7" s="1"/>
  <c r="AS4" s="1"/>
  <c r="BO29" i="4"/>
  <c r="AW21" i="3"/>
  <c r="AW26" s="1"/>
  <c r="S21"/>
  <c r="S26" s="1"/>
  <c r="AK21"/>
  <c r="AK26" s="1"/>
  <c r="D35" i="2"/>
  <c r="D37" s="1"/>
  <c r="D42" s="1"/>
  <c r="C21"/>
  <c r="AD21" i="1"/>
  <c r="Z38" i="2"/>
  <c r="Y38"/>
  <c r="AC21" i="1"/>
  <c r="F69" i="4"/>
  <c r="C43"/>
  <c r="L42"/>
  <c r="M37"/>
  <c r="M42" s="1"/>
  <c r="M43" s="1"/>
  <c r="AC10" i="7"/>
  <c r="AO28" i="6"/>
  <c r="AO30" s="1"/>
  <c r="AO34" s="1"/>
  <c r="BT11" i="1"/>
  <c r="BT14" s="1"/>
  <c r="BT16" s="1"/>
  <c r="BT19" s="1"/>
  <c r="BI38" i="2" s="1"/>
  <c r="BT7" i="3"/>
  <c r="BT12" s="1"/>
  <c r="BX24" i="1"/>
  <c r="AZ10" i="7"/>
  <c r="AZ4" s="1"/>
  <c r="BQ28" i="6"/>
  <c r="BQ30" s="1"/>
  <c r="BQ34" s="1"/>
  <c r="X33" i="3"/>
  <c r="W33"/>
  <c r="X30" s="1"/>
  <c r="AW5" i="7"/>
  <c r="AW6"/>
  <c r="AG6"/>
  <c r="AG5"/>
  <c r="AK5"/>
  <c r="AK6"/>
  <c r="AL5"/>
  <c r="AL6"/>
  <c r="AM5"/>
  <c r="AM6"/>
  <c r="J28" i="6"/>
  <c r="J30" s="1"/>
  <c r="BN28"/>
  <c r="AZ34"/>
  <c r="J21" i="3"/>
  <c r="J26" s="1"/>
  <c r="V14" i="6"/>
  <c r="R14"/>
  <c r="R17" s="1"/>
  <c r="R35" s="1"/>
  <c r="P14"/>
  <c r="P17" s="1"/>
  <c r="BN70" i="4"/>
  <c r="BQ29"/>
  <c r="BW17"/>
  <c r="BA13" i="7" s="1"/>
  <c r="BR19" i="6"/>
  <c r="BR26" s="1"/>
  <c r="AX5" i="7"/>
  <c r="AX6"/>
  <c r="AF6"/>
  <c r="AF5"/>
  <c r="AN34" i="6"/>
  <c r="R10" i="7"/>
  <c r="BK24" i="1"/>
  <c r="K21" i="3"/>
  <c r="K26" s="1"/>
  <c r="AP19" i="6"/>
  <c r="AP26" s="1"/>
  <c r="U14"/>
  <c r="U17" s="1"/>
  <c r="Q14"/>
  <c r="Q17" s="1"/>
  <c r="O14"/>
  <c r="BL14"/>
  <c r="BL17" s="1"/>
  <c r="BA12" i="7"/>
  <c r="BX29" i="4"/>
  <c r="BQ21" i="1"/>
  <c r="BF38" i="2"/>
  <c r="AC28" i="6"/>
  <c r="AC30" s="1"/>
  <c r="AC34" s="1"/>
  <c r="S10" i="7"/>
  <c r="AU38" i="6"/>
  <c r="AH10" i="7"/>
  <c r="AH4" s="1"/>
  <c r="AU28" i="6"/>
  <c r="AV10" i="7"/>
  <c r="AV4" s="1"/>
  <c r="BL38" i="6"/>
  <c r="BL28"/>
  <c r="AU10" i="7"/>
  <c r="AU4" s="1"/>
  <c r="BK38" i="6"/>
  <c r="BK28"/>
  <c r="BR21" i="1"/>
  <c r="BG38" i="2"/>
  <c r="AM38" i="6"/>
  <c r="AA10" i="7"/>
  <c r="AM28" i="6"/>
  <c r="AM30" s="1"/>
  <c r="AM34" s="1"/>
  <c r="M10" i="7"/>
  <c r="V28" i="6"/>
  <c r="V30" s="1"/>
  <c r="J10" i="7"/>
  <c r="AV28" i="6"/>
  <c r="AV35" s="1"/>
  <c r="I14"/>
  <c r="I17" s="1"/>
  <c r="E14"/>
  <c r="E17" s="1"/>
  <c r="D14"/>
  <c r="D17" s="1"/>
  <c r="BU5" i="1"/>
  <c r="BU7"/>
  <c r="BU11" s="1"/>
  <c r="BU14" s="1"/>
  <c r="BU16" s="1"/>
  <c r="BU19" s="1"/>
  <c r="BU21" s="1"/>
  <c r="AI28" i="6"/>
  <c r="AI30" s="1"/>
  <c r="AI34" s="1"/>
  <c r="W34"/>
  <c r="AB12" i="3"/>
  <c r="AB21" s="1"/>
  <c r="AB26" s="1"/>
  <c r="X14" i="6"/>
  <c r="X17" s="1"/>
  <c r="J14"/>
  <c r="J17" s="1"/>
  <c r="J34" s="1"/>
  <c r="F30"/>
  <c r="F34" s="1"/>
  <c r="K30"/>
  <c r="K34" s="1"/>
  <c r="K35"/>
  <c r="BM35"/>
  <c r="BM30"/>
  <c r="BM34" s="1"/>
  <c r="BH38" i="2"/>
  <c r="BS21" i="1"/>
  <c r="AB35" i="6"/>
  <c r="AB30"/>
  <c r="L28"/>
  <c r="L30" s="1"/>
  <c r="L34" s="1"/>
  <c r="E10" i="7"/>
  <c r="BL38" i="2"/>
  <c r="BX21" i="1"/>
  <c r="BE38" i="6"/>
  <c r="BE28"/>
  <c r="AP10" i="7"/>
  <c r="AP4" s="1"/>
  <c r="AR10"/>
  <c r="AR4" s="1"/>
  <c r="BG38" i="6"/>
  <c r="AY28"/>
  <c r="AY38"/>
  <c r="I10" i="7"/>
  <c r="Q28" i="6"/>
  <c r="Q30" s="1"/>
  <c r="AE8" i="3"/>
  <c r="AE12" s="1"/>
  <c r="AE21" s="1"/>
  <c r="AE26" s="1"/>
  <c r="AA12"/>
  <c r="AA21" s="1"/>
  <c r="AA26" s="1"/>
  <c r="BF38" i="6"/>
  <c r="AQ10" i="7"/>
  <c r="AQ4" s="1"/>
  <c r="BN30" i="6"/>
  <c r="BN34" s="1"/>
  <c r="BN35"/>
  <c r="BA10" i="7"/>
  <c r="BA4" s="1"/>
  <c r="BR28" i="6"/>
  <c r="BR30" s="1"/>
  <c r="BR34" s="1"/>
  <c r="BR38"/>
  <c r="BK30"/>
  <c r="BK34" s="1"/>
  <c r="BK35"/>
  <c r="BT21" i="3"/>
  <c r="BT26" s="1"/>
  <c r="BT36" i="1"/>
  <c r="BU7" i="3"/>
  <c r="BU12" s="1"/>
  <c r="BU21" s="1"/>
  <c r="BU26" s="1"/>
  <c r="BQ12"/>
  <c r="X28" i="6"/>
  <c r="X30" s="1"/>
  <c r="O10" i="7"/>
  <c r="AS28" i="6"/>
  <c r="AS38"/>
  <c r="P28"/>
  <c r="H10" i="7"/>
  <c r="AT38" i="6"/>
  <c r="AT28"/>
  <c r="M7" i="3"/>
  <c r="M12" s="1"/>
  <c r="M21" s="1"/>
  <c r="M26" s="1"/>
  <c r="I12"/>
  <c r="I21" s="1"/>
  <c r="I26" s="1"/>
  <c r="V17" i="6"/>
  <c r="O17"/>
  <c r="BA28"/>
  <c r="BF35"/>
  <c r="BQ35"/>
  <c r="BQ38"/>
  <c r="AZ35"/>
  <c r="AI35"/>
  <c r="AP28"/>
  <c r="AO38"/>
  <c r="AD28"/>
  <c r="AD30" s="1"/>
  <c r="AD34" s="1"/>
  <c r="W35"/>
  <c r="BG28"/>
  <c r="BR36" i="1"/>
  <c r="AB10" i="7"/>
  <c r="V10"/>
  <c r="U28" i="6"/>
  <c r="U30" s="1"/>
  <c r="N10" i="7"/>
  <c r="AH28" i="6"/>
  <c r="BA38"/>
  <c r="G8" i="3"/>
  <c r="G12" s="1"/>
  <c r="G21" s="1"/>
  <c r="G26" s="1"/>
  <c r="G33" s="1"/>
  <c r="AD12"/>
  <c r="AD21" s="1"/>
  <c r="AD26" s="1"/>
  <c r="E12"/>
  <c r="E21" s="1"/>
  <c r="E26" s="1"/>
  <c r="AB34" i="6"/>
  <c r="AA17"/>
  <c r="BU37" i="1"/>
  <c r="U34" i="6" l="1"/>
  <c r="AC35"/>
  <c r="BR35"/>
  <c r="E33" i="3"/>
  <c r="F30" s="1"/>
  <c r="F33" s="1"/>
  <c r="I30" s="1"/>
  <c r="M30" s="1"/>
  <c r="M33" s="1"/>
  <c r="AM35" i="6"/>
  <c r="Q34"/>
  <c r="AI10" i="7"/>
  <c r="AI4" s="1"/>
  <c r="Y42" i="2"/>
  <c r="Z35" s="1"/>
  <c r="Z37" s="1"/>
  <c r="Z42" s="1"/>
  <c r="AB35" s="1"/>
  <c r="AB37" s="1"/>
  <c r="AB42" s="1"/>
  <c r="AC35" s="1"/>
  <c r="AC37" s="1"/>
  <c r="AC42" s="1"/>
  <c r="AD35" s="1"/>
  <c r="AD37" s="1"/>
  <c r="AD42" s="1"/>
  <c r="AE35" s="1"/>
  <c r="AE37" s="1"/>
  <c r="AE42" s="1"/>
  <c r="AG35" s="1"/>
  <c r="AG37" s="1"/>
  <c r="AG42" s="1"/>
  <c r="AH35" s="1"/>
  <c r="AH37" s="1"/>
  <c r="AH42" s="1"/>
  <c r="AI35" s="1"/>
  <c r="AI37" s="1"/>
  <c r="AI42" s="1"/>
  <c r="AJ35" s="1"/>
  <c r="AJ37" s="1"/>
  <c r="AJ42" s="1"/>
  <c r="AL35" s="1"/>
  <c r="AL37" s="1"/>
  <c r="AL42" s="1"/>
  <c r="AM35" s="1"/>
  <c r="AM37" s="1"/>
  <c r="AM42" s="1"/>
  <c r="AN35" s="1"/>
  <c r="AN37" s="1"/>
  <c r="AN42" s="1"/>
  <c r="AO35" s="1"/>
  <c r="AO37" s="1"/>
  <c r="AO42" s="1"/>
  <c r="AQ35" s="1"/>
  <c r="AQ37" s="1"/>
  <c r="AQ42" s="1"/>
  <c r="AR35" s="1"/>
  <c r="AR37" s="1"/>
  <c r="AR42" s="1"/>
  <c r="AS35" s="1"/>
  <c r="AS37" s="1"/>
  <c r="AS42" s="1"/>
  <c r="AT35" s="1"/>
  <c r="AT37" s="1"/>
  <c r="AT42" s="1"/>
  <c r="AV35" s="1"/>
  <c r="AV37" s="1"/>
  <c r="AV42" s="1"/>
  <c r="AW35" s="1"/>
  <c r="AW37" s="1"/>
  <c r="AW42" s="1"/>
  <c r="AX35" s="1"/>
  <c r="AX37" s="1"/>
  <c r="AX42" s="1"/>
  <c r="AY35" s="1"/>
  <c r="AY37" s="1"/>
  <c r="AY42" s="1"/>
  <c r="BA35" s="1"/>
  <c r="BA37" s="1"/>
  <c r="BA42" s="1"/>
  <c r="BB35" s="1"/>
  <c r="BB37" s="1"/>
  <c r="BB42" s="1"/>
  <c r="BC35" s="1"/>
  <c r="BC37" s="1"/>
  <c r="BC42" s="1"/>
  <c r="BD35" s="1"/>
  <c r="BD37" s="1"/>
  <c r="BD42" s="1"/>
  <c r="BF35" s="1"/>
  <c r="BF37" s="1"/>
  <c r="BF42" s="1"/>
  <c r="BG35" s="1"/>
  <c r="BG37" s="1"/>
  <c r="R34" i="6"/>
  <c r="AG35"/>
  <c r="X34"/>
  <c r="BS36" i="1"/>
  <c r="BS21" i="3"/>
  <c r="BS26" s="1"/>
  <c r="AV30" i="6"/>
  <c r="AV34" s="1"/>
  <c r="AO35"/>
  <c r="BH38"/>
  <c r="J35"/>
  <c r="BH28"/>
  <c r="BH30" s="1"/>
  <c r="BH34" s="1"/>
  <c r="AQ5" i="7"/>
  <c r="AQ6"/>
  <c r="AP5"/>
  <c r="AP6"/>
  <c r="AU5"/>
  <c r="AU6"/>
  <c r="AI6"/>
  <c r="AI5"/>
  <c r="AP38" i="6"/>
  <c r="AD10" i="7"/>
  <c r="AZ5"/>
  <c r="L43" i="4"/>
  <c r="O69"/>
  <c r="L69"/>
  <c r="Q69"/>
  <c r="P69"/>
  <c r="D21" i="2"/>
  <c r="E35"/>
  <c r="E37" s="1"/>
  <c r="E42" s="1"/>
  <c r="AS5" i="7"/>
  <c r="AS6"/>
  <c r="AJ28" i="6"/>
  <c r="Y10" i="7"/>
  <c r="BA5"/>
  <c r="BA6"/>
  <c r="AR5"/>
  <c r="AR6"/>
  <c r="AV5"/>
  <c r="AV6"/>
  <c r="AH6"/>
  <c r="AH5"/>
  <c r="AZ13"/>
  <c r="AZ6" s="1"/>
  <c r="BW24" i="1"/>
  <c r="CA17" i="4"/>
  <c r="CA24" i="1" s="1"/>
  <c r="C29"/>
  <c r="C28" i="2"/>
  <c r="BB38" i="6"/>
  <c r="BB28"/>
  <c r="AN10" i="7"/>
  <c r="AN4" s="1"/>
  <c r="BL30" i="6"/>
  <c r="BL34" s="1"/>
  <c r="BL35"/>
  <c r="BG42" i="2"/>
  <c r="BH35" s="1"/>
  <c r="BH37" s="1"/>
  <c r="BH42" s="1"/>
  <c r="BI35" s="1"/>
  <c r="BI37" s="1"/>
  <c r="BI42" s="1"/>
  <c r="BK35" s="1"/>
  <c r="BK37" s="1"/>
  <c r="BK42" s="1"/>
  <c r="BL35" s="1"/>
  <c r="BL37" s="1"/>
  <c r="AU30" i="6"/>
  <c r="AU34" s="1"/>
  <c r="AU35"/>
  <c r="AA34"/>
  <c r="AA35"/>
  <c r="I35"/>
  <c r="I34"/>
  <c r="BA35"/>
  <c r="BA30"/>
  <c r="BA34" s="1"/>
  <c r="V35"/>
  <c r="V34"/>
  <c r="AT35"/>
  <c r="AT30"/>
  <c r="AT34" s="1"/>
  <c r="BQ36" i="1"/>
  <c r="BU36" s="1"/>
  <c r="BQ21" i="3"/>
  <c r="BQ26" s="1"/>
  <c r="AY30" i="6"/>
  <c r="AY34" s="1"/>
  <c r="AY35"/>
  <c r="BE30"/>
  <c r="BE34" s="1"/>
  <c r="BE35"/>
  <c r="AD35"/>
  <c r="L35"/>
  <c r="BL42" i="2"/>
  <c r="AH30" i="6"/>
  <c r="AH34" s="1"/>
  <c r="AH35"/>
  <c r="BG30"/>
  <c r="BG34" s="1"/>
  <c r="BG35"/>
  <c r="AP30"/>
  <c r="AP34" s="1"/>
  <c r="AP35"/>
  <c r="O34"/>
  <c r="O35"/>
  <c r="P30"/>
  <c r="P34" s="1"/>
  <c r="P35"/>
  <c r="AS30"/>
  <c r="AS34" s="1"/>
  <c r="AS35"/>
  <c r="Q35"/>
  <c r="U35"/>
  <c r="X35"/>
  <c r="BH35" l="1"/>
  <c r="I33" i="3"/>
  <c r="J30" s="1"/>
  <c r="J33" s="1"/>
  <c r="K30" s="1"/>
  <c r="K33" s="1"/>
  <c r="L30" s="1"/>
  <c r="L33" s="1"/>
  <c r="O30" s="1"/>
  <c r="S30" s="1"/>
  <c r="S33" s="1"/>
  <c r="AA30" s="1"/>
  <c r="AN5" i="7"/>
  <c r="AN6"/>
  <c r="E21" i="2"/>
  <c r="F35"/>
  <c r="F37" s="1"/>
  <c r="F42" s="1"/>
  <c r="BB30" i="6"/>
  <c r="BB34" s="1"/>
  <c r="BB35"/>
  <c r="AJ35"/>
  <c r="AJ30"/>
  <c r="AJ34" s="1"/>
  <c r="D28" i="2"/>
  <c r="D29" i="1"/>
  <c r="O33" i="3" l="1"/>
  <c r="P30" s="1"/>
  <c r="P33" s="1"/>
  <c r="Q30" s="1"/>
  <c r="Q33" s="1"/>
  <c r="R30" s="1"/>
  <c r="R33" s="1"/>
  <c r="E28" i="2"/>
  <c r="E29" i="1"/>
  <c r="H35" i="2"/>
  <c r="H37" s="1"/>
  <c r="H42" s="1"/>
  <c r="F21"/>
  <c r="AE30" i="3"/>
  <c r="AE33" s="1"/>
  <c r="AA33"/>
  <c r="AB30" s="1"/>
  <c r="AB33" s="1"/>
  <c r="AC30" s="1"/>
  <c r="AC33" s="1"/>
  <c r="AD30" s="1"/>
  <c r="AD33" s="1"/>
  <c r="AG30" s="1"/>
  <c r="I35" i="2" l="1"/>
  <c r="I37" s="1"/>
  <c r="I42" s="1"/>
  <c r="H21"/>
  <c r="F28"/>
  <c r="F29" i="1"/>
  <c r="AK30" i="3"/>
  <c r="AK33" s="1"/>
  <c r="AG33"/>
  <c r="AH30" s="1"/>
  <c r="AH33" s="1"/>
  <c r="AI30" s="1"/>
  <c r="AI33" s="1"/>
  <c r="AJ30" s="1"/>
  <c r="AJ33" s="1"/>
  <c r="AM30" s="1"/>
  <c r="I21" i="2" l="1"/>
  <c r="J35"/>
  <c r="J37" s="1"/>
  <c r="J42" s="1"/>
  <c r="I29" i="1"/>
  <c r="H28" i="2"/>
  <c r="AM33" i="3"/>
  <c r="AN30" s="1"/>
  <c r="AN33" s="1"/>
  <c r="AO30" s="1"/>
  <c r="AO33" s="1"/>
  <c r="AP30" s="1"/>
  <c r="AP33" s="1"/>
  <c r="AS30" s="1"/>
  <c r="AQ30"/>
  <c r="AQ33" s="1"/>
  <c r="I28" i="2" l="1"/>
  <c r="J29" i="1"/>
  <c r="J21" i="2"/>
  <c r="K35"/>
  <c r="K37" s="1"/>
  <c r="K42" s="1"/>
  <c r="AS33" i="3"/>
  <c r="AT30" s="1"/>
  <c r="AT33" s="1"/>
  <c r="AU30" s="1"/>
  <c r="AU33" s="1"/>
  <c r="AV30" s="1"/>
  <c r="AV33" s="1"/>
  <c r="AW30"/>
  <c r="AW33" s="1"/>
  <c r="AY30" s="1"/>
  <c r="K29" i="1" l="1"/>
  <c r="J28" i="2"/>
  <c r="K21"/>
  <c r="M35"/>
  <c r="M37" s="1"/>
  <c r="M42" s="1"/>
  <c r="N35" s="1"/>
  <c r="N37" s="1"/>
  <c r="N42" s="1"/>
  <c r="O35" s="1"/>
  <c r="O37" s="1"/>
  <c r="O42" s="1"/>
  <c r="P35" s="1"/>
  <c r="P37" s="1"/>
  <c r="P42" s="1"/>
  <c r="BC30" i="3"/>
  <c r="BC33" s="1"/>
  <c r="BE30" s="1"/>
  <c r="AY33"/>
  <c r="AZ30" s="1"/>
  <c r="AZ33" s="1"/>
  <c r="BA30" s="1"/>
  <c r="BA33" s="1"/>
  <c r="BB30" s="1"/>
  <c r="BB33" s="1"/>
  <c r="L29" i="1" l="1"/>
  <c r="K28" i="2"/>
  <c r="BE33" i="3"/>
  <c r="BF30" s="1"/>
  <c r="BF33" s="1"/>
  <c r="BG30" s="1"/>
  <c r="BG33" s="1"/>
  <c r="BH30" s="1"/>
  <c r="BH33" s="1"/>
  <c r="BI30"/>
  <c r="BI33" s="1"/>
  <c r="BK30" s="1"/>
  <c r="BO30" l="1"/>
  <c r="BO33" s="1"/>
  <c r="BK33"/>
  <c r="BL30" s="1"/>
  <c r="BL33" s="1"/>
  <c r="BM30" s="1"/>
  <c r="BM33" s="1"/>
  <c r="BN30" s="1"/>
  <c r="BN33" s="1"/>
  <c r="BQ30" s="1"/>
  <c r="BU30" l="1"/>
  <c r="BU33" s="1"/>
  <c r="BQ33"/>
  <c r="BR30" s="1"/>
  <c r="BR33" s="1"/>
  <c r="BS30" s="1"/>
  <c r="BS33" s="1"/>
  <c r="BT30" s="1"/>
  <c r="BT33" s="1"/>
  <c r="BW30" s="1"/>
  <c r="BW33" l="1"/>
  <c r="BX30" s="1"/>
  <c r="BX33" s="1"/>
  <c r="CA30"/>
  <c r="CA33" s="1"/>
</calcChain>
</file>

<file path=xl/comments1.xml><?xml version="1.0" encoding="utf-8"?>
<comments xmlns="http://schemas.openxmlformats.org/spreadsheetml/2006/main">
  <authors>
    <author>XX</author>
  </authors>
  <commentList>
    <comment ref="R10" authorId="0">
      <text>
        <r>
          <rPr>
            <b/>
            <sz val="8"/>
            <color indexed="81"/>
            <rFont val="Tahoma"/>
            <family val="2"/>
          </rPr>
          <t>NKT Integration: (19)
Priorparken: (6)</t>
        </r>
      </text>
    </comment>
    <comment ref="R15" authorId="0">
      <text>
        <r>
          <rPr>
            <b/>
            <sz val="8"/>
            <color indexed="81"/>
            <rFont val="Tahoma"/>
            <family val="2"/>
          </rPr>
          <t>Financial items: 4
Unrealized gain
on shares in AMSC
and IMA: +20</t>
        </r>
      </text>
    </comment>
    <comment ref="X15" authorId="0">
      <text>
        <r>
          <rPr>
            <sz val="8"/>
            <color indexed="81"/>
            <rFont val="Tahoma"/>
            <family val="2"/>
          </rPr>
          <t xml:space="preserve">Write up AMSC / IMA shares : +19
Other financial items: 0
</t>
        </r>
      </text>
    </comment>
    <comment ref="X18" authorId="0">
      <text>
        <r>
          <rPr>
            <sz val="8"/>
            <color indexed="81"/>
            <rFont val="Tahoma"/>
            <family val="2"/>
          </rPr>
          <t xml:space="preserve">Adj. Tax Asset: +50
Tax payable: (18)
</t>
        </r>
      </text>
    </comment>
  </commentList>
</comments>
</file>

<file path=xl/comments2.xml><?xml version="1.0" encoding="utf-8"?>
<comments xmlns="http://schemas.openxmlformats.org/spreadsheetml/2006/main">
  <authors>
    <author>XX</author>
  </authors>
  <commentList>
    <comment ref="V11" authorId="0">
      <text>
        <r>
          <rPr>
            <b/>
            <sz val="8"/>
            <color indexed="81"/>
            <rFont val="Tahoma"/>
            <family val="2"/>
          </rPr>
          <t>Incl (31) mDKK for acquisition of 30% of NKT Cables China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18" authorId="0">
      <text>
        <r>
          <rPr>
            <b/>
            <sz val="8"/>
            <color indexed="81"/>
            <rFont val="Tahoma"/>
            <family val="2"/>
          </rPr>
          <t>Incl +38 mDKK for reclassed shares in AMSC / IMA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A18" authorId="0">
      <text>
        <r>
          <rPr>
            <b/>
            <sz val="8"/>
            <color indexed="81"/>
            <rFont val="Tahoma"/>
            <family val="2"/>
          </rPr>
          <t>Capitalization of NKT Flexibles (30)
Other investments (11)</t>
        </r>
      </text>
    </comment>
  </commentList>
</comments>
</file>

<file path=xl/comments3.xml><?xml version="1.0" encoding="utf-8"?>
<comments xmlns="http://schemas.openxmlformats.org/spreadsheetml/2006/main">
  <authors>
    <author>Thomas  Hofman-Bang</author>
    <author>XX</author>
  </authors>
  <commentList>
    <comment ref="L21" authorId="0">
      <text>
        <r>
          <rPr>
            <b/>
            <sz val="8"/>
            <color indexed="81"/>
            <rFont val="Tahoma"/>
            <family val="2"/>
          </rPr>
          <t>Operation: 28
Restructuring: (121)</t>
        </r>
      </text>
    </comment>
    <comment ref="M21" authorId="0">
      <text>
        <r>
          <rPr>
            <b/>
            <sz val="8"/>
            <color indexed="81"/>
            <rFont val="Tahoma"/>
            <family val="2"/>
          </rPr>
          <t>Operation: 109
Restructuring: (121)
Guidance 2003:
+/- 6% of revenue</t>
        </r>
      </text>
    </comment>
    <comment ref="M22" authorId="0">
      <text>
        <r>
          <rPr>
            <b/>
            <sz val="8"/>
            <color indexed="81"/>
            <rFont val="Tahoma"/>
            <family val="2"/>
          </rPr>
          <t>Guidance 2003:
&gt;9% of revenue</t>
        </r>
      </text>
    </comment>
    <comment ref="I23" authorId="0">
      <text>
        <r>
          <rPr>
            <b/>
            <sz val="8"/>
            <color indexed="81"/>
            <rFont val="Tahoma"/>
            <family val="2"/>
          </rPr>
          <t>Operation: 7
Gains: 60</t>
        </r>
      </text>
    </comment>
    <comment ref="J23" authorId="0">
      <text>
        <r>
          <rPr>
            <b/>
            <sz val="8"/>
            <color indexed="81"/>
            <rFont val="Tahoma"/>
            <family val="2"/>
          </rPr>
          <t>Operation: 8
Gains: 11</t>
        </r>
      </text>
    </comment>
    <comment ref="K23" authorId="0">
      <text>
        <r>
          <rPr>
            <b/>
            <sz val="8"/>
            <color indexed="81"/>
            <rFont val="Tahoma"/>
            <family val="2"/>
          </rPr>
          <t>Operation: 8
Gains: 39</t>
        </r>
      </text>
    </comment>
    <comment ref="L23" authorId="0">
      <text>
        <r>
          <rPr>
            <b/>
            <sz val="8"/>
            <color indexed="81"/>
            <rFont val="Tahoma"/>
            <family val="2"/>
          </rPr>
          <t>Operation: 5
Gains: 15</t>
        </r>
      </text>
    </comment>
    <comment ref="M23" authorId="0">
      <text>
        <r>
          <rPr>
            <b/>
            <sz val="8"/>
            <color indexed="81"/>
            <rFont val="Tahoma"/>
            <family val="2"/>
          </rPr>
          <t>Operation: 28
Gain from sale of real estate: 125</t>
        </r>
      </text>
    </comment>
    <comment ref="R23" authorId="1">
      <text>
        <r>
          <rPr>
            <b/>
            <sz val="10"/>
            <color indexed="81"/>
            <rFont val="Tahoma"/>
            <family val="2"/>
          </rPr>
          <t>Operations: 5
Reversal of
provisions: 9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24" authorId="0">
      <text>
        <r>
          <rPr>
            <b/>
            <sz val="8"/>
            <color indexed="81"/>
            <rFont val="Tahoma"/>
            <family val="2"/>
          </rPr>
          <t>Guidance 2003:
Break-even EBITDA</t>
        </r>
      </text>
    </comment>
    <comment ref="M25" authorId="0">
      <text>
        <r>
          <rPr>
            <b/>
            <sz val="8"/>
            <color indexed="81"/>
            <rFont val="Tahoma"/>
            <family val="2"/>
          </rPr>
          <t>NKT Integration: (36)
Development: (45)
Guidance 2003: +/- (70)</t>
        </r>
      </text>
    </comment>
    <comment ref="S25" authorId="1">
      <text>
        <r>
          <rPr>
            <b/>
            <sz val="8"/>
            <color indexed="81"/>
            <rFont val="Tahoma"/>
            <family val="2"/>
          </rPr>
          <t>NKT Integration: (46)
Development: (30)
Guidance 2004: +/- (60)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26" authorId="0">
      <text>
        <r>
          <rPr>
            <b/>
            <u/>
            <sz val="8"/>
            <color indexed="81"/>
            <rFont val="Tahoma"/>
            <family val="2"/>
          </rPr>
          <t>Continued business</t>
        </r>
        <r>
          <rPr>
            <b/>
            <sz val="8"/>
            <color indexed="81"/>
            <rFont val="Tahoma"/>
            <family val="2"/>
          </rPr>
          <t xml:space="preserve">
SMB: (12)
Cantion: (8)
</t>
        </r>
        <r>
          <rPr>
            <b/>
            <u/>
            <sz val="8"/>
            <color indexed="81"/>
            <rFont val="Tahoma"/>
            <family val="2"/>
          </rPr>
          <t>Discontinued business</t>
        </r>
        <r>
          <rPr>
            <b/>
            <sz val="8"/>
            <color indexed="81"/>
            <rFont val="Tahoma"/>
            <family val="2"/>
          </rPr>
          <t xml:space="preserve">
PicoSep: (7)
Watech: (3)
NST: (29)
Novator: (10)</t>
        </r>
      </text>
    </comment>
    <comment ref="O27" authorId="1">
      <text>
        <r>
          <rPr>
            <b/>
            <sz val="10"/>
            <color indexed="81"/>
            <rFont val="Tahoma"/>
            <family val="2"/>
          </rPr>
          <t>Operation: (3)
Gain on Watech
divestment: 6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7" authorId="1">
      <text>
        <r>
          <rPr>
            <b/>
            <sz val="10"/>
            <color indexed="81"/>
            <rFont val="Tahoma"/>
            <family val="2"/>
          </rPr>
          <t>Opertation: (6)
Gain on SMB
divestment: +20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<sst xmlns="http://schemas.openxmlformats.org/spreadsheetml/2006/main" count="861" uniqueCount="204">
  <si>
    <t>Revenue</t>
  </si>
  <si>
    <t>EBITDA</t>
  </si>
  <si>
    <t>EBIT</t>
  </si>
  <si>
    <t>EBITA</t>
  </si>
  <si>
    <t>Financial items (net)</t>
  </si>
  <si>
    <t>PBT</t>
  </si>
  <si>
    <t>Income Tax</t>
  </si>
  <si>
    <t>Net result (Group)</t>
  </si>
  <si>
    <t>Minority interests</t>
  </si>
  <si>
    <t>Net result (NKT share)</t>
  </si>
  <si>
    <t>Q1</t>
  </si>
  <si>
    <t>Q2</t>
  </si>
  <si>
    <t>Q3</t>
  </si>
  <si>
    <t>Q4</t>
  </si>
  <si>
    <t>Total</t>
  </si>
  <si>
    <t>Balance Sheet</t>
  </si>
  <si>
    <t>Share Capital</t>
  </si>
  <si>
    <t>Total Assets</t>
  </si>
  <si>
    <t>Capital Employed</t>
  </si>
  <si>
    <t>Key figures</t>
  </si>
  <si>
    <t>Equity ratio</t>
  </si>
  <si>
    <t>Number of 20 DKK shares ('000)</t>
  </si>
  <si>
    <t>Market price, DKK per share</t>
  </si>
  <si>
    <t>Equity value, DKK per share</t>
  </si>
  <si>
    <t>Dividend paid, DKK per share</t>
  </si>
  <si>
    <t>Earnings per share (EPS), DKK</t>
  </si>
  <si>
    <t>Assets</t>
  </si>
  <si>
    <t>Liabilities</t>
  </si>
  <si>
    <t>Receivables</t>
  </si>
  <si>
    <t>Securities</t>
  </si>
  <si>
    <t>Cash</t>
  </si>
  <si>
    <t>Total current assets</t>
  </si>
  <si>
    <t>Total assets</t>
  </si>
  <si>
    <t>Shareholders' equity</t>
  </si>
  <si>
    <t>Change in accounting policies</t>
  </si>
  <si>
    <t>Dividend paid</t>
  </si>
  <si>
    <t>Other investment, etc</t>
  </si>
  <si>
    <t>Own shares / share options</t>
  </si>
  <si>
    <t>Change in interest-bearing items</t>
  </si>
  <si>
    <t>Net interestbearing items, ending balance</t>
  </si>
  <si>
    <t>Nilfisk-Advance</t>
  </si>
  <si>
    <t>Priorparken</t>
  </si>
  <si>
    <t>NKT Flexibles</t>
  </si>
  <si>
    <t>Parent company and eliminations</t>
  </si>
  <si>
    <t>Capital employed</t>
  </si>
  <si>
    <t>Paid to / Received from minority interests</t>
  </si>
  <si>
    <t>NKT Holding A/S</t>
  </si>
  <si>
    <t>Balance Sheet (mDKK)</t>
  </si>
  <si>
    <t>Cash flow (mDKK)</t>
  </si>
  <si>
    <t>Segment Data (mDKK)</t>
  </si>
  <si>
    <t>Other companies</t>
  </si>
  <si>
    <t>EBITDA% - Group</t>
  </si>
  <si>
    <t xml:space="preserve"> - Nilfisk-Advance</t>
  </si>
  <si>
    <t>in quarters</t>
  </si>
  <si>
    <t>Treasury shares ('000)</t>
  </si>
  <si>
    <t>Outstanding shares (´000)</t>
  </si>
  <si>
    <t>Valuation (mDKK)</t>
  </si>
  <si>
    <t>Market capitalization (mDKK)</t>
  </si>
  <si>
    <t>Minority interests (mDKK)</t>
  </si>
  <si>
    <t>EBITDA (Last 12 months)</t>
  </si>
  <si>
    <t>Gain Submarine plant</t>
  </si>
  <si>
    <t>Real estate gains</t>
  </si>
  <si>
    <t>Restructuring provisions</t>
  </si>
  <si>
    <t>Industrial aktivities</t>
  </si>
  <si>
    <t>Technology activities</t>
  </si>
  <si>
    <t>Valuation</t>
  </si>
  <si>
    <t>EBITA% - Group</t>
  </si>
  <si>
    <t>Enterprise Value (mDKK)</t>
  </si>
  <si>
    <t>The following pages are intended to summarize previously released financial information.</t>
  </si>
  <si>
    <t>Cashflow</t>
  </si>
  <si>
    <t>Other gains etc</t>
  </si>
  <si>
    <t>Shareholder Equity (NKT shareholder)</t>
  </si>
  <si>
    <t>Acquisitions / Divestments</t>
  </si>
  <si>
    <t>Deconsolidation NKT Flexibles</t>
  </si>
  <si>
    <t>Currency translation etc</t>
  </si>
  <si>
    <t>Total Equity</t>
  </si>
  <si>
    <t>Equity, opening balance</t>
  </si>
  <si>
    <t>Equity, ending balance</t>
  </si>
  <si>
    <t>Amortizations (Goodwill)</t>
  </si>
  <si>
    <t>Depreciation (TFA)</t>
  </si>
  <si>
    <t>Amortization (R&amp;D etc.)</t>
  </si>
  <si>
    <t>Provisions (long term)</t>
  </si>
  <si>
    <t>*) adj. for non-rucurring items 2005 and onwards</t>
  </si>
  <si>
    <t xml:space="preserve"> - Nilfisk-Advance *)</t>
  </si>
  <si>
    <t>Annualizing acquisitions.</t>
  </si>
  <si>
    <t>Gearing</t>
  </si>
  <si>
    <t xml:space="preserve"> </t>
  </si>
  <si>
    <t xml:space="preserve">  </t>
  </si>
  <si>
    <t>Q1-02</t>
  </si>
  <si>
    <t>Q2-02</t>
  </si>
  <si>
    <t>Q3-02</t>
  </si>
  <si>
    <t>Q4-02</t>
  </si>
  <si>
    <t>Q1-03</t>
  </si>
  <si>
    <t>Q2-03</t>
  </si>
  <si>
    <t>Q3-03</t>
  </si>
  <si>
    <t>Q4-03</t>
  </si>
  <si>
    <t>Q1-04</t>
  </si>
  <si>
    <t>Q2-04</t>
  </si>
  <si>
    <t>Q3-04</t>
  </si>
  <si>
    <t>Q4-04</t>
  </si>
  <si>
    <t>Q1-05</t>
  </si>
  <si>
    <t>Q2-06</t>
  </si>
  <si>
    <t>Q3-07</t>
  </si>
  <si>
    <t>Q2-05</t>
  </si>
  <si>
    <t>Q3-05</t>
  </si>
  <si>
    <t>Q4-06</t>
  </si>
  <si>
    <t>Q4-05</t>
  </si>
  <si>
    <t>Q1-06</t>
  </si>
  <si>
    <t>Q3-06</t>
  </si>
  <si>
    <t>Q1-07</t>
  </si>
  <si>
    <t>Q2-07</t>
  </si>
  <si>
    <t>LTM Revenue</t>
  </si>
  <si>
    <t>Dividend from NKT Flexibles</t>
  </si>
  <si>
    <t>Total Revenue, standard</t>
  </si>
  <si>
    <t>RoCE% (Last 12 months) - Group *)</t>
  </si>
  <si>
    <t>**) Revenue adjusted for impact related to changes in metalprices. Standard metalprices have been fixed at 1,550 EUR/tonne for Copper and 1,350 EUR/tonne for Aluminium</t>
  </si>
  <si>
    <t>Revenue, market</t>
  </si>
  <si>
    <t>Revenue, standard</t>
  </si>
  <si>
    <t>Q4-07</t>
  </si>
  <si>
    <t xml:space="preserve"> - NKT Cables *)</t>
  </si>
  <si>
    <t>Q1-08</t>
  </si>
  <si>
    <t>Parent company, other and eliminations</t>
  </si>
  <si>
    <t>Q2-08</t>
  </si>
  <si>
    <t>LTM Revenue, std.</t>
  </si>
  <si>
    <t>Q3-08</t>
  </si>
  <si>
    <t xml:space="preserve"> - NKT Cables, market prices</t>
  </si>
  <si>
    <t xml:space="preserve"> - NKT Cables, standard prices</t>
  </si>
  <si>
    <t>Q4-08</t>
  </si>
  <si>
    <t>NKT Holding A/S releases financial information via NASDAQ OMX Copenhagen.</t>
  </si>
  <si>
    <t>In the event of any questions regarding interpretations of the content of the financial information</t>
  </si>
  <si>
    <t>contained on the following pages, the information released to NASDAQ OMX Copenhagen shall prevail.</t>
  </si>
  <si>
    <r>
      <t>Key Figures</t>
    </r>
    <r>
      <rPr>
        <sz val="20"/>
        <rFont val="Arial Narrow"/>
        <family val="2"/>
      </rPr>
      <t xml:space="preserve"> (unaudited)</t>
    </r>
  </si>
  <si>
    <t>IFRS</t>
  </si>
  <si>
    <t>Income Statement (mDKK)</t>
  </si>
  <si>
    <t>Write downs &amp; Impairments</t>
  </si>
  <si>
    <t>Impairments (Goodwill)</t>
  </si>
  <si>
    <t>Discontinued operations</t>
  </si>
  <si>
    <t>Cash flow from operating activities</t>
  </si>
  <si>
    <t>Net investment in tangible assets</t>
  </si>
  <si>
    <t>Intangible assets</t>
  </si>
  <si>
    <t>Tangible assets</t>
  </si>
  <si>
    <t>Other non-current assests</t>
  </si>
  <si>
    <t>Total non-current assets</t>
  </si>
  <si>
    <t>Inventories</t>
  </si>
  <si>
    <t>Other current liabilities</t>
  </si>
  <si>
    <t>Total equity and liabilities</t>
  </si>
  <si>
    <t>Equity changes</t>
  </si>
  <si>
    <t>Profit for the period</t>
  </si>
  <si>
    <t>Foreign exchange translation differences etc.</t>
  </si>
  <si>
    <t>Own shares/share options etc.</t>
  </si>
  <si>
    <t>Financial items, net</t>
  </si>
  <si>
    <t>Discontinued operation</t>
  </si>
  <si>
    <t xml:space="preserve">Change in working capital, </t>
  </si>
  <si>
    <t>Cash flows from operations</t>
  </si>
  <si>
    <t>Acquisition and disposal of tangible assets</t>
  </si>
  <si>
    <t>Cash flows from investment activites</t>
  </si>
  <si>
    <t>Total operating and investing activities</t>
  </si>
  <si>
    <t>DK GAAP</t>
  </si>
  <si>
    <t>NKT Cables, market prices</t>
  </si>
  <si>
    <t>Photonics Group</t>
  </si>
  <si>
    <t>NKT Cables, standard prices **)</t>
  </si>
  <si>
    <t>NKT Cables</t>
  </si>
  <si>
    <t xml:space="preserve">NKT Cables </t>
  </si>
  <si>
    <t>Q1-09</t>
  </si>
  <si>
    <t>Q2-09</t>
  </si>
  <si>
    <t>Q3-09</t>
  </si>
  <si>
    <t>Disclaimer:</t>
  </si>
  <si>
    <t>NIBD/operational EBITDA</t>
  </si>
  <si>
    <t>Adjustments: (LTM)</t>
  </si>
  <si>
    <t>Operational EBITDA (LTM)</t>
  </si>
  <si>
    <t>Q4-09</t>
  </si>
  <si>
    <t>Total shareholders equity, after adjustments</t>
  </si>
  <si>
    <t>EV / Operational EBITDA (Total)</t>
  </si>
  <si>
    <t>EV / Operational EBITDA (Industrial activities)</t>
  </si>
  <si>
    <t xml:space="preserve">  non-cash operatiing items etc.</t>
  </si>
  <si>
    <t>Q1-10</t>
  </si>
  <si>
    <t>Q2-10</t>
  </si>
  <si>
    <t>Q3-10</t>
  </si>
  <si>
    <t>Paid to minority interests</t>
  </si>
  <si>
    <t>Q4-10</t>
  </si>
  <si>
    <t>Q1-11</t>
  </si>
  <si>
    <t>NKT Flexibles (share of profit)</t>
  </si>
  <si>
    <t>Q2-11</t>
  </si>
  <si>
    <t>NKT Flexibles (NKT share)</t>
  </si>
  <si>
    <t>Non-current credit institutions</t>
  </si>
  <si>
    <t>Current credit institutions</t>
  </si>
  <si>
    <t>Q3-11</t>
  </si>
  <si>
    <t>Q4-11</t>
  </si>
  <si>
    <t>2001 to 2012</t>
  </si>
  <si>
    <t>Net interest bearing debt (mDKK)</t>
  </si>
  <si>
    <t>Assets held for sale</t>
  </si>
  <si>
    <t>Net interest bearing assets/(debt)</t>
  </si>
  <si>
    <t>Q1-12</t>
  </si>
  <si>
    <t>Q2-12</t>
  </si>
  <si>
    <t>Q3-12</t>
  </si>
  <si>
    <t>Q4-12</t>
  </si>
  <si>
    <t>Oper. EBITDA LTM mDKK (Continued ope.)</t>
  </si>
  <si>
    <t>Oper. EBITDA% LTM (Continued ope.)</t>
  </si>
  <si>
    <t>Oper. EBITDA% LTM, std. (Continued ope.)</t>
  </si>
  <si>
    <t>Dividend paid (adopted at AGM)</t>
  </si>
  <si>
    <t>Net interest bearing items, opening balance</t>
  </si>
  <si>
    <t>Discontinued operation, NKT Flexibles</t>
  </si>
  <si>
    <t>Operational EBITDA LTM, Group</t>
  </si>
  <si>
    <t>Operational EBITDA LTM, NKT Flexibles</t>
  </si>
</sst>
</file>

<file path=xl/styles.xml><?xml version="1.0" encoding="utf-8"?>
<styleSheet xmlns="http://schemas.openxmlformats.org/spreadsheetml/2006/main">
  <numFmts count="6">
    <numFmt numFmtId="164" formatCode="_(* #,##0.00_);_(* \(#,##0.00\);_(* &quot;-&quot;??_);_(@_)"/>
    <numFmt numFmtId="165" formatCode="0.0"/>
    <numFmt numFmtId="166" formatCode="0.0%"/>
    <numFmt numFmtId="167" formatCode="0.0\x"/>
    <numFmt numFmtId="168" formatCode="_(* #,##0_);_(* \(#,##0\);_(* &quot;-&quot;??_);_(@_)"/>
    <numFmt numFmtId="169" formatCode="_(* #,##0.0_);_(* \(#,##0.0\);_(* &quot;-&quot;??_);_(@_)"/>
  </numFmts>
  <fonts count="17">
    <font>
      <sz val="10"/>
      <name val="Arial"/>
    </font>
    <font>
      <sz val="10"/>
      <name val="Arial"/>
      <family val="2"/>
    </font>
    <font>
      <b/>
      <i/>
      <sz val="1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u/>
      <sz val="10"/>
      <name val="Arial Narrow"/>
      <family val="2"/>
    </font>
    <font>
      <u/>
      <sz val="10"/>
      <name val="Arial Narrow"/>
      <family val="2"/>
    </font>
    <font>
      <sz val="36"/>
      <name val="Arial Narrow"/>
      <family val="2"/>
    </font>
    <font>
      <b/>
      <sz val="8"/>
      <color indexed="81"/>
      <name val="Tahoma"/>
      <family val="2"/>
    </font>
    <font>
      <b/>
      <u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indexed="81"/>
      <name val="Tahoma"/>
      <family val="2"/>
    </font>
    <font>
      <sz val="8"/>
      <name val="Arial"/>
      <family val="2"/>
    </font>
    <font>
      <b/>
      <u/>
      <sz val="10"/>
      <color indexed="9"/>
      <name val="Arial Narrow"/>
      <family val="2"/>
    </font>
    <font>
      <sz val="20"/>
      <name val="Arial Narrow"/>
      <family val="2"/>
    </font>
    <font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2" fillId="2" borderId="0" xfId="0" applyFont="1" applyFill="1"/>
    <xf numFmtId="0" fontId="2" fillId="0" borderId="0" xfId="0" applyFont="1" applyFill="1"/>
    <xf numFmtId="0" fontId="3" fillId="0" borderId="0" xfId="0" applyFont="1" applyFill="1" applyBorder="1"/>
    <xf numFmtId="0" fontId="4" fillId="0" borderId="0" xfId="0" applyFont="1"/>
    <xf numFmtId="0" fontId="3" fillId="2" borderId="0" xfId="0" applyFont="1" applyFill="1"/>
    <xf numFmtId="0" fontId="3" fillId="0" borderId="0" xfId="0" applyFont="1" applyFill="1"/>
    <xf numFmtId="0" fontId="5" fillId="3" borderId="0" xfId="0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5" fillId="0" borderId="0" xfId="0" applyFont="1" applyFill="1" applyBorder="1" applyAlignment="1">
      <alignment horizontal="right"/>
    </xf>
    <xf numFmtId="0" fontId="4" fillId="0" borderId="0" xfId="0" applyFont="1" applyFill="1"/>
    <xf numFmtId="0" fontId="5" fillId="0" borderId="0" xfId="0" applyFont="1"/>
    <xf numFmtId="0" fontId="3" fillId="0" borderId="0" xfId="0" applyFont="1"/>
    <xf numFmtId="0" fontId="3" fillId="0" borderId="1" xfId="0" applyFont="1" applyBorder="1"/>
    <xf numFmtId="37" fontId="4" fillId="0" borderId="0" xfId="0" applyNumberFormat="1" applyFont="1"/>
    <xf numFmtId="37" fontId="3" fillId="2" borderId="0" xfId="0" applyNumberFormat="1" applyFont="1" applyFill="1"/>
    <xf numFmtId="37" fontId="3" fillId="0" borderId="0" xfId="0" applyNumberFormat="1" applyFont="1" applyFill="1" applyBorder="1"/>
    <xf numFmtId="37" fontId="3" fillId="0" borderId="1" xfId="0" applyNumberFormat="1" applyFont="1" applyBorder="1"/>
    <xf numFmtId="37" fontId="3" fillId="2" borderId="1" xfId="0" applyNumberFormat="1" applyFont="1" applyFill="1" applyBorder="1"/>
    <xf numFmtId="37" fontId="3" fillId="0" borderId="0" xfId="0" applyNumberFormat="1" applyFont="1"/>
    <xf numFmtId="37" fontId="4" fillId="0" borderId="2" xfId="0" applyNumberFormat="1" applyFont="1" applyBorder="1"/>
    <xf numFmtId="37" fontId="3" fillId="2" borderId="2" xfId="0" applyNumberFormat="1" applyFont="1" applyFill="1" applyBorder="1"/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6" fillId="0" borderId="0" xfId="0" applyFont="1"/>
    <xf numFmtId="0" fontId="4" fillId="0" borderId="0" xfId="0" applyFont="1" applyBorder="1"/>
    <xf numFmtId="37" fontId="4" fillId="0" borderId="1" xfId="0" applyNumberFormat="1" applyFont="1" applyBorder="1"/>
    <xf numFmtId="9" fontId="4" fillId="0" borderId="0" xfId="2" applyFont="1"/>
    <xf numFmtId="9" fontId="3" fillId="0" borderId="0" xfId="2" applyFont="1"/>
    <xf numFmtId="9" fontId="3" fillId="0" borderId="0" xfId="2" applyFont="1" applyFill="1" applyBorder="1"/>
    <xf numFmtId="165" fontId="4" fillId="0" borderId="0" xfId="0" applyNumberFormat="1" applyFont="1"/>
    <xf numFmtId="165" fontId="3" fillId="2" borderId="0" xfId="0" applyNumberFormat="1" applyFont="1" applyFill="1"/>
    <xf numFmtId="165" fontId="3" fillId="0" borderId="0" xfId="0" applyNumberFormat="1" applyFont="1" applyFill="1" applyBorder="1"/>
    <xf numFmtId="37" fontId="3" fillId="0" borderId="2" xfId="0" applyNumberFormat="1" applyFont="1" applyBorder="1"/>
    <xf numFmtId="37" fontId="3" fillId="0" borderId="3" xfId="0" applyNumberFormat="1" applyFont="1" applyBorder="1"/>
    <xf numFmtId="37" fontId="3" fillId="2" borderId="3" xfId="0" applyNumberFormat="1" applyFont="1" applyFill="1" applyBorder="1"/>
    <xf numFmtId="0" fontId="3" fillId="0" borderId="0" xfId="0" applyFont="1" applyBorder="1"/>
    <xf numFmtId="166" fontId="3" fillId="0" borderId="0" xfId="2" applyNumberFormat="1" applyFont="1" applyBorder="1"/>
    <xf numFmtId="166" fontId="3" fillId="2" borderId="0" xfId="2" applyNumberFormat="1" applyFont="1" applyFill="1" applyBorder="1"/>
    <xf numFmtId="166" fontId="3" fillId="0" borderId="0" xfId="2" applyNumberFormat="1" applyFont="1" applyFill="1" applyBorder="1"/>
    <xf numFmtId="1" fontId="4" fillId="0" borderId="0" xfId="0" applyNumberFormat="1" applyFont="1"/>
    <xf numFmtId="1" fontId="3" fillId="0" borderId="3" xfId="0" applyNumberFormat="1" applyFont="1" applyBorder="1"/>
    <xf numFmtId="167" fontId="4" fillId="0" borderId="0" xfId="0" applyNumberFormat="1" applyFont="1"/>
    <xf numFmtId="0" fontId="3" fillId="2" borderId="0" xfId="0" applyFont="1" applyFill="1" applyAlignment="1">
      <alignment horizontal="right"/>
    </xf>
    <xf numFmtId="0" fontId="4" fillId="0" borderId="0" xfId="0" applyNumberFormat="1" applyFont="1"/>
    <xf numFmtId="10" fontId="4" fillId="0" borderId="0" xfId="0" applyNumberFormat="1" applyFont="1"/>
    <xf numFmtId="9" fontId="4" fillId="0" borderId="0" xfId="0" applyNumberFormat="1" applyFont="1"/>
    <xf numFmtId="37" fontId="3" fillId="0" borderId="0" xfId="0" applyNumberFormat="1" applyFont="1" applyBorder="1"/>
    <xf numFmtId="37" fontId="4" fillId="0" borderId="0" xfId="0" applyNumberFormat="1" applyFont="1" applyBorder="1"/>
    <xf numFmtId="1" fontId="4" fillId="0" borderId="0" xfId="0" applyNumberFormat="1" applyFont="1" applyBorder="1"/>
    <xf numFmtId="1" fontId="3" fillId="0" borderId="0" xfId="0" applyNumberFormat="1" applyFont="1" applyBorder="1"/>
    <xf numFmtId="167" fontId="4" fillId="0" borderId="0" xfId="0" applyNumberFormat="1" applyFont="1" applyBorder="1"/>
    <xf numFmtId="0" fontId="4" fillId="0" borderId="0" xfId="0" applyFont="1" applyAlignment="1">
      <alignment horizontal="center"/>
    </xf>
    <xf numFmtId="37" fontId="4" fillId="2" borderId="0" xfId="0" applyNumberFormat="1" applyFont="1" applyFill="1" applyBorder="1"/>
    <xf numFmtId="168" fontId="4" fillId="0" borderId="0" xfId="1" applyNumberFormat="1" applyFont="1"/>
    <xf numFmtId="37" fontId="4" fillId="0" borderId="0" xfId="0" applyNumberFormat="1" applyFont="1" applyFill="1" applyBorder="1"/>
    <xf numFmtId="37" fontId="0" fillId="0" borderId="0" xfId="0" applyNumberFormat="1"/>
    <xf numFmtId="166" fontId="0" fillId="0" borderId="0" xfId="2" applyNumberFormat="1" applyFont="1"/>
    <xf numFmtId="37" fontId="4" fillId="0" borderId="0" xfId="0" applyNumberFormat="1" applyFont="1" applyFill="1"/>
    <xf numFmtId="37" fontId="3" fillId="2" borderId="0" xfId="0" applyNumberFormat="1" applyFont="1" applyFill="1" applyBorder="1"/>
    <xf numFmtId="37" fontId="4" fillId="2" borderId="0" xfId="0" applyNumberFormat="1" applyFont="1" applyFill="1"/>
    <xf numFmtId="37" fontId="3" fillId="0" borderId="1" xfId="0" applyNumberFormat="1" applyFont="1" applyFill="1" applyBorder="1"/>
    <xf numFmtId="0" fontId="3" fillId="0" borderId="1" xfId="0" applyFont="1" applyFill="1" applyBorder="1"/>
    <xf numFmtId="0" fontId="4" fillId="0" borderId="0" xfId="0" applyFont="1" applyAlignment="1">
      <alignment wrapText="1"/>
    </xf>
    <xf numFmtId="0" fontId="4" fillId="0" borderId="0" xfId="0" applyFont="1" applyFill="1" applyBorder="1"/>
    <xf numFmtId="1" fontId="4" fillId="0" borderId="0" xfId="0" applyNumberFormat="1" applyFont="1" applyFill="1" applyBorder="1"/>
    <xf numFmtId="37" fontId="3" fillId="0" borderId="3" xfId="0" applyNumberFormat="1" applyFont="1" applyFill="1" applyBorder="1"/>
    <xf numFmtId="1" fontId="3" fillId="0" borderId="0" xfId="0" applyNumberFormat="1" applyFont="1" applyFill="1" applyBorder="1"/>
    <xf numFmtId="10" fontId="4" fillId="0" borderId="0" xfId="0" applyNumberFormat="1" applyFont="1" applyFill="1"/>
    <xf numFmtId="167" fontId="4" fillId="0" borderId="0" xfId="0" applyNumberFormat="1" applyFont="1" applyFill="1"/>
    <xf numFmtId="167" fontId="4" fillId="0" borderId="0" xfId="0" applyNumberFormat="1" applyFont="1" applyFill="1" applyBorder="1"/>
    <xf numFmtId="0" fontId="13" fillId="4" borderId="0" xfId="0" applyFont="1" applyFill="1" applyAlignment="1">
      <alignment horizontal="right"/>
    </xf>
    <xf numFmtId="37" fontId="0" fillId="0" borderId="0" xfId="0" applyNumberFormat="1" applyFill="1"/>
    <xf numFmtId="37" fontId="4" fillId="5" borderId="0" xfId="0" applyNumberFormat="1" applyFont="1" applyFill="1" applyBorder="1"/>
    <xf numFmtId="37" fontId="4" fillId="0" borderId="2" xfId="0" applyNumberFormat="1" applyFont="1" applyFill="1" applyBorder="1"/>
    <xf numFmtId="0" fontId="7" fillId="0" borderId="0" xfId="0" applyFont="1" applyAlignment="1">
      <alignment horizontal="center"/>
    </xf>
    <xf numFmtId="37" fontId="3" fillId="0" borderId="0" xfId="0" applyNumberFormat="1" applyFont="1" applyFill="1"/>
    <xf numFmtId="0" fontId="7" fillId="0" borderId="0" xfId="0" applyFont="1" applyAlignment="1"/>
    <xf numFmtId="0" fontId="13" fillId="6" borderId="0" xfId="0" applyFont="1" applyFill="1" applyAlignment="1">
      <alignment horizontal="right"/>
    </xf>
    <xf numFmtId="37" fontId="3" fillId="0" borderId="0" xfId="0" quotePrefix="1" applyNumberFormat="1" applyFont="1"/>
    <xf numFmtId="37" fontId="15" fillId="0" borderId="0" xfId="0" quotePrefix="1" applyNumberFormat="1" applyFont="1"/>
    <xf numFmtId="37" fontId="4" fillId="0" borderId="0" xfId="0" quotePrefix="1" applyNumberFormat="1" applyFont="1"/>
    <xf numFmtId="165" fontId="4" fillId="0" borderId="0" xfId="0" applyNumberFormat="1" applyFont="1" applyFill="1"/>
    <xf numFmtId="168" fontId="4" fillId="0" borderId="0" xfId="1" applyNumberFormat="1" applyFont="1" applyFill="1"/>
    <xf numFmtId="37" fontId="4" fillId="6" borderId="0" xfId="0" applyNumberFormat="1" applyFont="1" applyFill="1"/>
    <xf numFmtId="37" fontId="4" fillId="6" borderId="2" xfId="0" applyNumberFormat="1" applyFont="1" applyFill="1" applyBorder="1"/>
    <xf numFmtId="9" fontId="4" fillId="6" borderId="0" xfId="2" applyFont="1" applyFill="1"/>
    <xf numFmtId="0" fontId="4" fillId="6" borderId="0" xfId="0" applyFont="1" applyFill="1"/>
    <xf numFmtId="165" fontId="4" fillId="6" borderId="0" xfId="0" applyNumberFormat="1" applyFont="1" applyFill="1"/>
    <xf numFmtId="37" fontId="4" fillId="6" borderId="0" xfId="0" applyNumberFormat="1" applyFont="1" applyFill="1" applyBorder="1"/>
    <xf numFmtId="37" fontId="3" fillId="6" borderId="1" xfId="0" applyNumberFormat="1" applyFont="1" applyFill="1" applyBorder="1"/>
    <xf numFmtId="166" fontId="16" fillId="0" borderId="0" xfId="2" applyNumberFormat="1" applyFont="1" applyFill="1"/>
    <xf numFmtId="9" fontId="4" fillId="0" borderId="0" xfId="2" applyFont="1" applyFill="1"/>
    <xf numFmtId="1" fontId="4" fillId="0" borderId="0" xfId="0" applyNumberFormat="1" applyFont="1" applyFill="1"/>
    <xf numFmtId="37" fontId="3" fillId="0" borderId="4" xfId="0" applyNumberFormat="1" applyFont="1" applyBorder="1"/>
    <xf numFmtId="37" fontId="3" fillId="2" borderId="4" xfId="0" applyNumberFormat="1" applyFont="1" applyFill="1" applyBorder="1"/>
    <xf numFmtId="37" fontId="3" fillId="0" borderId="4" xfId="0" applyNumberFormat="1" applyFont="1" applyFill="1" applyBorder="1"/>
    <xf numFmtId="168" fontId="4" fillId="0" borderId="0" xfId="0" applyNumberFormat="1" applyFont="1"/>
    <xf numFmtId="37" fontId="3" fillId="6" borderId="0" xfId="0" applyNumberFormat="1" applyFont="1" applyFill="1" applyBorder="1"/>
    <xf numFmtId="168" fontId="3" fillId="0" borderId="0" xfId="1" applyNumberFormat="1" applyFont="1" applyBorder="1"/>
    <xf numFmtId="164" fontId="4" fillId="0" borderId="0" xfId="1" applyFont="1"/>
    <xf numFmtId="169" fontId="4" fillId="0" borderId="0" xfId="0" applyNumberFormat="1" applyFont="1"/>
    <xf numFmtId="37" fontId="4" fillId="0" borderId="0" xfId="0" applyNumberFormat="1" applyFont="1" applyAlignment="1">
      <alignment horizontal="right"/>
    </xf>
    <xf numFmtId="0" fontId="1" fillId="0" borderId="0" xfId="0" applyFont="1"/>
    <xf numFmtId="0" fontId="0" fillId="0" borderId="0" xfId="0" applyFill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plotArea>
      <c:layout>
        <c:manualLayout>
          <c:layoutTarget val="inner"/>
          <c:xMode val="edge"/>
          <c:yMode val="edge"/>
          <c:x val="0.10937532808398959"/>
          <c:y val="0.11776527934008259"/>
          <c:w val="0.77257075427713062"/>
          <c:h val="0.62034000983184889"/>
        </c:manualLayout>
      </c:layout>
      <c:barChart>
        <c:barDir val="col"/>
        <c:grouping val="clustered"/>
        <c:ser>
          <c:idx val="1"/>
          <c:order val="0"/>
          <c:tx>
            <c:strRef>
              <c:f>'EBITDA udvikling'!$A$4</c:f>
              <c:strCache>
                <c:ptCount val="1"/>
                <c:pt idx="0">
                  <c:v>Oper. EBITDA LTM mDKK (Continued ope.)</c:v>
                </c:pt>
              </c:strCache>
            </c:strRef>
          </c:tx>
          <c:spPr>
            <a:solidFill>
              <a:srgbClr val="A87B48"/>
            </a:solidFill>
            <a:ln w="25400">
              <a:noFill/>
            </a:ln>
          </c:spPr>
          <c:dLbls>
            <c:txPr>
              <a:bodyPr rot="-5400000" vert="horz"/>
              <a:lstStyle/>
              <a:p>
                <a:pPr algn="ctr"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a-DK"/>
              </a:p>
            </c:txPr>
            <c:dLblPos val="inBase"/>
            <c:showVal val="1"/>
          </c:dLbls>
          <c:cat>
            <c:strRef>
              <c:f>'EBITDA udvikling'!$AF$3:$BA$3</c:f>
              <c:strCache>
                <c:ptCount val="22"/>
                <c:pt idx="0">
                  <c:v>Q1-08</c:v>
                </c:pt>
                <c:pt idx="1">
                  <c:v>Q2-08</c:v>
                </c:pt>
                <c:pt idx="2">
                  <c:v>Q3-08</c:v>
                </c:pt>
                <c:pt idx="3">
                  <c:v>Q4-08</c:v>
                </c:pt>
                <c:pt idx="5">
                  <c:v>Q1-09</c:v>
                </c:pt>
                <c:pt idx="6">
                  <c:v>Q2-09</c:v>
                </c:pt>
                <c:pt idx="7">
                  <c:v>Q3-09</c:v>
                </c:pt>
                <c:pt idx="8">
                  <c:v>Q4-09</c:v>
                </c:pt>
                <c:pt idx="10">
                  <c:v>Q1-10</c:v>
                </c:pt>
                <c:pt idx="11">
                  <c:v>Q2-10</c:v>
                </c:pt>
                <c:pt idx="12">
                  <c:v>Q3-10</c:v>
                </c:pt>
                <c:pt idx="13">
                  <c:v>Q4-10</c:v>
                </c:pt>
                <c:pt idx="15">
                  <c:v>Q1-11</c:v>
                </c:pt>
                <c:pt idx="16">
                  <c:v>Q2-11</c:v>
                </c:pt>
                <c:pt idx="17">
                  <c:v>Q3-11</c:v>
                </c:pt>
                <c:pt idx="18">
                  <c:v>Q4-11</c:v>
                </c:pt>
                <c:pt idx="20">
                  <c:v>Q1-12</c:v>
                </c:pt>
                <c:pt idx="21">
                  <c:v>Q2-12</c:v>
                </c:pt>
              </c:strCache>
            </c:strRef>
          </c:cat>
          <c:val>
            <c:numRef>
              <c:f>'EBITDA udvikling'!$AF$4:$BA$4</c:f>
              <c:numCache>
                <c:formatCode>#,##0;\-#,##0</c:formatCode>
                <c:ptCount val="22"/>
                <c:pt idx="0">
                  <c:v>1260</c:v>
                </c:pt>
                <c:pt idx="1">
                  <c:v>1268</c:v>
                </c:pt>
                <c:pt idx="2">
                  <c:v>1240</c:v>
                </c:pt>
                <c:pt idx="3">
                  <c:v>1078</c:v>
                </c:pt>
                <c:pt idx="5">
                  <c:v>930</c:v>
                </c:pt>
                <c:pt idx="6">
                  <c:v>811</c:v>
                </c:pt>
                <c:pt idx="7">
                  <c:v>751</c:v>
                </c:pt>
                <c:pt idx="8">
                  <c:v>799</c:v>
                </c:pt>
                <c:pt idx="10">
                  <c:v>908</c:v>
                </c:pt>
                <c:pt idx="11">
                  <c:v>916</c:v>
                </c:pt>
                <c:pt idx="12">
                  <c:v>951</c:v>
                </c:pt>
                <c:pt idx="13">
                  <c:v>895</c:v>
                </c:pt>
                <c:pt idx="15">
                  <c:v>869</c:v>
                </c:pt>
                <c:pt idx="16">
                  <c:v>808</c:v>
                </c:pt>
                <c:pt idx="17">
                  <c:v>775</c:v>
                </c:pt>
                <c:pt idx="18">
                  <c:v>878</c:v>
                </c:pt>
                <c:pt idx="20">
                  <c:v>914</c:v>
                </c:pt>
                <c:pt idx="21">
                  <c:v>956</c:v>
                </c:pt>
              </c:numCache>
            </c:numRef>
          </c:val>
        </c:ser>
        <c:gapWidth val="40"/>
        <c:axId val="124984704"/>
        <c:axId val="124999168"/>
      </c:barChart>
      <c:lineChart>
        <c:grouping val="standard"/>
        <c:ser>
          <c:idx val="0"/>
          <c:order val="1"/>
          <c:tx>
            <c:strRef>
              <c:f>'EBITDA udvikling'!$A$5</c:f>
              <c:strCache>
                <c:ptCount val="1"/>
                <c:pt idx="0">
                  <c:v>Oper. EBITDA% LTM (Continued ope.)</c:v>
                </c:pt>
              </c:strCache>
            </c:strRef>
          </c:tx>
          <c:spPr>
            <a:ln w="12700">
              <a:solidFill>
                <a:srgbClr val="60C3AD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60C3AD"/>
              </a:solidFill>
              <a:ln>
                <a:solidFill>
                  <a:srgbClr val="60C3AD"/>
                </a:solidFill>
              </a:ln>
            </c:spPr>
          </c:marker>
          <c:cat>
            <c:strRef>
              <c:f>'EBITDA udvikling'!$AF$3:$AX$3</c:f>
              <c:strCache>
                <c:ptCount val="19"/>
                <c:pt idx="0">
                  <c:v>Q1-08</c:v>
                </c:pt>
                <c:pt idx="1">
                  <c:v>Q2-08</c:v>
                </c:pt>
                <c:pt idx="2">
                  <c:v>Q3-08</c:v>
                </c:pt>
                <c:pt idx="3">
                  <c:v>Q4-08</c:v>
                </c:pt>
                <c:pt idx="5">
                  <c:v>Q1-09</c:v>
                </c:pt>
                <c:pt idx="6">
                  <c:v>Q2-09</c:v>
                </c:pt>
                <c:pt idx="7">
                  <c:v>Q3-09</c:v>
                </c:pt>
                <c:pt idx="8">
                  <c:v>Q4-09</c:v>
                </c:pt>
                <c:pt idx="10">
                  <c:v>Q1-10</c:v>
                </c:pt>
                <c:pt idx="11">
                  <c:v>Q2-10</c:v>
                </c:pt>
                <c:pt idx="12">
                  <c:v>Q3-10</c:v>
                </c:pt>
                <c:pt idx="13">
                  <c:v>Q4-10</c:v>
                </c:pt>
                <c:pt idx="15">
                  <c:v>Q1-11</c:v>
                </c:pt>
                <c:pt idx="16">
                  <c:v>Q2-11</c:v>
                </c:pt>
                <c:pt idx="17">
                  <c:v>Q3-11</c:v>
                </c:pt>
                <c:pt idx="18">
                  <c:v>Q4-11</c:v>
                </c:pt>
              </c:strCache>
            </c:strRef>
          </c:cat>
          <c:val>
            <c:numRef>
              <c:f>'EBITDA udvikling'!$AF$5:$BA$5</c:f>
              <c:numCache>
                <c:formatCode>0.0%</c:formatCode>
                <c:ptCount val="22"/>
                <c:pt idx="0">
                  <c:v>9.1563113145846961E-2</c:v>
                </c:pt>
                <c:pt idx="1">
                  <c:v>9.0974314822786631E-2</c:v>
                </c:pt>
                <c:pt idx="2">
                  <c:v>8.7880935506732816E-2</c:v>
                </c:pt>
                <c:pt idx="3">
                  <c:v>7.7957766849869825E-2</c:v>
                </c:pt>
                <c:pt idx="5">
                  <c:v>7.1008627930060325E-2</c:v>
                </c:pt>
                <c:pt idx="6">
                  <c:v>6.5130099582396406E-2</c:v>
                </c:pt>
                <c:pt idx="7">
                  <c:v>6.3082738345233091E-2</c:v>
                </c:pt>
                <c:pt idx="8">
                  <c:v>6.8366561136305293E-2</c:v>
                </c:pt>
                <c:pt idx="10">
                  <c:v>7.4954597985801549E-2</c:v>
                </c:pt>
                <c:pt idx="11">
                  <c:v>7.2669575565251887E-2</c:v>
                </c:pt>
                <c:pt idx="12">
                  <c:v>7.124129148250806E-2</c:v>
                </c:pt>
                <c:pt idx="13">
                  <c:v>6.1933430212442048E-2</c:v>
                </c:pt>
                <c:pt idx="15">
                  <c:v>5.7306779213927725E-2</c:v>
                </c:pt>
                <c:pt idx="16">
                  <c:v>5.198147195059187E-2</c:v>
                </c:pt>
                <c:pt idx="17">
                  <c:v>4.9265780942088867E-2</c:v>
                </c:pt>
                <c:pt idx="18">
                  <c:v>5.6267623686234301E-2</c:v>
                </c:pt>
                <c:pt idx="20">
                  <c:v>5.9501334548531994E-2</c:v>
                </c:pt>
                <c:pt idx="21">
                  <c:v>6.2692635582661152E-2</c:v>
                </c:pt>
              </c:numCache>
            </c:numRef>
          </c:val>
        </c:ser>
        <c:ser>
          <c:idx val="2"/>
          <c:order val="2"/>
          <c:tx>
            <c:strRef>
              <c:f>'EBITDA udvikling'!$A$6</c:f>
              <c:strCache>
                <c:ptCount val="1"/>
                <c:pt idx="0">
                  <c:v>Oper. EBITDA% LTM, std. (Continued ope.)</c:v>
                </c:pt>
              </c:strCache>
            </c:strRef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  <a:prstDash val="solid"/>
            </a:ln>
          </c:spPr>
          <c:marker>
            <c:symbol val="circle"/>
            <c:size val="6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chemeClr val="tx1">
                    <a:lumMod val="50000"/>
                    <a:lumOff val="50000"/>
                  </a:schemeClr>
                </a:solidFill>
                <a:prstDash val="solid"/>
              </a:ln>
            </c:spPr>
          </c:marker>
          <c:cat>
            <c:strRef>
              <c:f>'EBITDA udvikling'!$AF$3:$AX$3</c:f>
              <c:strCache>
                <c:ptCount val="19"/>
                <c:pt idx="0">
                  <c:v>Q1-08</c:v>
                </c:pt>
                <c:pt idx="1">
                  <c:v>Q2-08</c:v>
                </c:pt>
                <c:pt idx="2">
                  <c:v>Q3-08</c:v>
                </c:pt>
                <c:pt idx="3">
                  <c:v>Q4-08</c:v>
                </c:pt>
                <c:pt idx="5">
                  <c:v>Q1-09</c:v>
                </c:pt>
                <c:pt idx="6">
                  <c:v>Q2-09</c:v>
                </c:pt>
                <c:pt idx="7">
                  <c:v>Q3-09</c:v>
                </c:pt>
                <c:pt idx="8">
                  <c:v>Q4-09</c:v>
                </c:pt>
                <c:pt idx="10">
                  <c:v>Q1-10</c:v>
                </c:pt>
                <c:pt idx="11">
                  <c:v>Q2-10</c:v>
                </c:pt>
                <c:pt idx="12">
                  <c:v>Q3-10</c:v>
                </c:pt>
                <c:pt idx="13">
                  <c:v>Q4-10</c:v>
                </c:pt>
                <c:pt idx="15">
                  <c:v>Q1-11</c:v>
                </c:pt>
                <c:pt idx="16">
                  <c:v>Q2-11</c:v>
                </c:pt>
                <c:pt idx="17">
                  <c:v>Q3-11</c:v>
                </c:pt>
                <c:pt idx="18">
                  <c:v>Q4-11</c:v>
                </c:pt>
              </c:strCache>
            </c:strRef>
          </c:cat>
          <c:val>
            <c:numRef>
              <c:f>'EBITDA udvikling'!$AF$6:$BA$6</c:f>
              <c:numCache>
                <c:formatCode>0.0%</c:formatCode>
                <c:ptCount val="22"/>
                <c:pt idx="0">
                  <c:v>0.11498448622011316</c:v>
                </c:pt>
                <c:pt idx="1">
                  <c:v>0.1135183527305282</c:v>
                </c:pt>
                <c:pt idx="2">
                  <c:v>0.10910690717113947</c:v>
                </c:pt>
                <c:pt idx="3">
                  <c:v>9.5626718708418351E-2</c:v>
                </c:pt>
                <c:pt idx="5">
                  <c:v>8.5188238527067875E-2</c:v>
                </c:pt>
                <c:pt idx="6">
                  <c:v>7.7039992400493973E-2</c:v>
                </c:pt>
                <c:pt idx="7">
                  <c:v>7.3801100628930819E-2</c:v>
                </c:pt>
                <c:pt idx="8">
                  <c:v>8.0301507537688444E-2</c:v>
                </c:pt>
                <c:pt idx="10">
                  <c:v>8.9892089892089896E-2</c:v>
                </c:pt>
                <c:pt idx="11">
                  <c:v>8.8391392453922607E-2</c:v>
                </c:pt>
                <c:pt idx="12">
                  <c:v>8.7706354329982472E-2</c:v>
                </c:pt>
                <c:pt idx="13">
                  <c:v>7.7975257013416968E-2</c:v>
                </c:pt>
                <c:pt idx="15">
                  <c:v>7.3345712356515866E-2</c:v>
                </c:pt>
                <c:pt idx="16">
                  <c:v>6.7496449753571136E-2</c:v>
                </c:pt>
                <c:pt idx="17">
                  <c:v>6.4288676897552882E-2</c:v>
                </c:pt>
                <c:pt idx="18">
                  <c:v>7.2257427372232744E-2</c:v>
                </c:pt>
                <c:pt idx="20">
                  <c:v>7.5574665123201587E-2</c:v>
                </c:pt>
                <c:pt idx="21">
                  <c:v>7.903439153439154E-2</c:v>
                </c:pt>
              </c:numCache>
            </c:numRef>
          </c:val>
        </c:ser>
        <c:marker val="1"/>
        <c:axId val="125000704"/>
        <c:axId val="125006592"/>
      </c:lineChart>
      <c:catAx>
        <c:axId val="124984704"/>
        <c:scaling>
          <c:orientation val="minMax"/>
        </c:scaling>
        <c:axPos val="b"/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24999168"/>
        <c:crosses val="autoZero"/>
        <c:lblAlgn val="ctr"/>
        <c:lblOffset val="100"/>
        <c:tickLblSkip val="1"/>
        <c:tickMarkSkip val="1"/>
      </c:catAx>
      <c:valAx>
        <c:axId val="124999168"/>
        <c:scaling>
          <c:orientation val="minMax"/>
        </c:scaling>
        <c:axPos val="l"/>
        <c:numFmt formatCode="#,##0;\-#,##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24984704"/>
        <c:crosses val="autoZero"/>
        <c:crossBetween val="between"/>
      </c:valAx>
      <c:catAx>
        <c:axId val="125000704"/>
        <c:scaling>
          <c:orientation val="minMax"/>
        </c:scaling>
        <c:delete val="1"/>
        <c:axPos val="b"/>
        <c:tickLblPos val="none"/>
        <c:crossAx val="125006592"/>
        <c:crosses val="autoZero"/>
        <c:lblAlgn val="ctr"/>
        <c:lblOffset val="100"/>
      </c:catAx>
      <c:valAx>
        <c:axId val="125006592"/>
        <c:scaling>
          <c:orientation val="minMax"/>
          <c:max val="0.15000000000000011"/>
          <c:min val="3.0000000000000002E-2"/>
        </c:scaling>
        <c:axPos val="r"/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25000704"/>
        <c:crosses val="max"/>
        <c:crossBetween val="between"/>
        <c:majorUnit val="3.0000000000000002E-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563339157073458"/>
          <c:y val="0.87601946098201133"/>
          <c:w val="0.79838036202921447"/>
          <c:h val="7.1138531464054799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>
      <c:oddHeader>&amp;A</c:oddHeader>
      <c:oddFooter>Page &amp;P</c:oddFooter>
    </c:headerFooter>
    <c:pageMargins b="1" l="0.75000000000000577" r="0.75000000000000577" t="1" header="0.5" footer="0.5"/>
    <c:pageSetup paperSize="9" orientation="landscape" horizontalDpi="-3"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311150</xdr:colOff>
      <xdr:row>20</xdr:row>
      <xdr:rowOff>50800</xdr:rowOff>
    </xdr:from>
    <xdr:to>
      <xdr:col>4</xdr:col>
      <xdr:colOff>393700</xdr:colOff>
      <xdr:row>21</xdr:row>
      <xdr:rowOff>88900</xdr:rowOff>
    </xdr:to>
    <xdr:sp macro="" textlink="">
      <xdr:nvSpPr>
        <xdr:cNvPr id="7221" name="Text Box 1"/>
        <xdr:cNvSpPr txBox="1">
          <a:spLocks noChangeArrowheads="1"/>
        </xdr:cNvSpPr>
      </xdr:nvSpPr>
      <xdr:spPr bwMode="auto">
        <a:xfrm>
          <a:off x="2876550" y="4953000"/>
          <a:ext cx="82550" cy="203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355600</xdr:colOff>
      <xdr:row>18</xdr:row>
      <xdr:rowOff>133350</xdr:rowOff>
    </xdr:from>
    <xdr:to>
      <xdr:col>52</xdr:col>
      <xdr:colOff>527050</xdr:colOff>
      <xdr:row>38</xdr:row>
      <xdr:rowOff>82550</xdr:rowOff>
    </xdr:to>
    <xdr:graphicFrame macro="">
      <xdr:nvGraphicFramePr>
        <xdr:cNvPr id="82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0.09364</cdr:x>
      <cdr:y>0.00073</cdr:y>
    </cdr:from>
    <cdr:to>
      <cdr:x>0.18355</cdr:x>
      <cdr:y>0.07741</cdr:y>
    </cdr:to>
    <cdr:sp macro="" textlink="">
      <cdr:nvSpPr>
        <cdr:cNvPr id="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841" y="2283"/>
          <a:ext cx="556710" cy="2398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>
          <a:spAutoFit/>
        </a:bodyPr>
        <a:lstStyle xmlns:a="http://schemas.openxmlformats.org/drawingml/2006/main"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rgbClr val="000000"/>
              </a:solidFill>
              <a:latin typeface="Arial" charset="0"/>
            </a:defRPr>
          </a:lvl5pPr>
          <a:lvl6pPr marL="2286000" algn="l" defTabSz="914400" rtl="0" eaLnBrk="1" latinLnBrk="0" hangingPunct="1">
            <a:defRPr kern="1200">
              <a:solidFill>
                <a:srgbClr val="000000"/>
              </a:solidFill>
              <a:latin typeface="Arial" charset="0"/>
            </a:defRPr>
          </a:lvl6pPr>
          <a:lvl7pPr marL="2743200" algn="l" defTabSz="914400" rtl="0" eaLnBrk="1" latinLnBrk="0" hangingPunct="1">
            <a:defRPr kern="1200">
              <a:solidFill>
                <a:srgbClr val="000000"/>
              </a:solidFill>
              <a:latin typeface="Arial" charset="0"/>
            </a:defRPr>
          </a:lvl7pPr>
          <a:lvl8pPr marL="3200400" algn="l" defTabSz="914400" rtl="0" eaLnBrk="1" latinLnBrk="0" hangingPunct="1">
            <a:defRPr kern="1200">
              <a:solidFill>
                <a:srgbClr val="000000"/>
              </a:solidFill>
              <a:latin typeface="Arial" charset="0"/>
            </a:defRPr>
          </a:lvl8pPr>
          <a:lvl9pPr marL="3657600" algn="l" defTabSz="914400" rtl="0" eaLnBrk="1" latinLnBrk="0" hangingPunct="1">
            <a:defRPr kern="1200">
              <a:solidFill>
                <a:srgbClr val="000000"/>
              </a:solidFill>
              <a:latin typeface="Arial" charset="0"/>
            </a:defRPr>
          </a:lvl9pPr>
        </a:lstStyle>
        <a:p xmlns:a="http://schemas.openxmlformats.org/drawingml/2006/main">
          <a:pPr algn="l"/>
          <a:r>
            <a:rPr lang="da-DK" sz="1000" b="0" dirty="0"/>
            <a:t>mDKK</a:t>
          </a:r>
          <a:endParaRPr lang="en-US" sz="1000" b="0" dirty="0"/>
        </a:p>
      </cdr:txBody>
    </cdr:sp>
  </cdr:relSizeAnchor>
</c:userShapes>
</file>

<file path=xl/theme/theme1.xml><?xml version="1.0" encoding="utf-8"?>
<a:theme xmlns:a="http://schemas.openxmlformats.org/drawingml/2006/main" name="NKT 2011 opd">
  <a:themeElements>
    <a:clrScheme name="NKT 2011">
      <a:dk1>
        <a:sysClr val="windowText" lastClr="000000"/>
      </a:dk1>
      <a:lt1>
        <a:sysClr val="window" lastClr="FFFFFF"/>
      </a:lt1>
      <a:dk2>
        <a:srgbClr val="FFFFFF"/>
      </a:dk2>
      <a:lt2>
        <a:srgbClr val="EEECE1"/>
      </a:lt2>
      <a:accent1>
        <a:srgbClr val="9CB227"/>
      </a:accent1>
      <a:accent2>
        <a:srgbClr val="A14126"/>
      </a:accent2>
      <a:accent3>
        <a:srgbClr val="0090BC"/>
      </a:accent3>
      <a:accent4>
        <a:srgbClr val="79519E"/>
      </a:accent4>
      <a:accent5>
        <a:srgbClr val="9F8146"/>
      </a:accent5>
      <a:accent6>
        <a:srgbClr val="FFC000"/>
      </a:accent6>
      <a:hlink>
        <a:srgbClr val="0000FF"/>
      </a:hlink>
      <a:folHlink>
        <a:srgbClr val="800080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2:W31"/>
  <sheetViews>
    <sheetView showGridLines="0" tabSelected="1" zoomScaleNormal="100" workbookViewId="0">
      <selection activeCell="P54" sqref="P54"/>
    </sheetView>
  </sheetViews>
  <sheetFormatPr defaultColWidth="9.140625" defaultRowHeight="12.75"/>
  <cols>
    <col min="1" max="10" width="9.140625" style="4"/>
    <col min="11" max="11" width="17.42578125" style="4" customWidth="1"/>
    <col min="12" max="16384" width="9.140625" style="4"/>
  </cols>
  <sheetData>
    <row r="12" spans="3:12" ht="45.75">
      <c r="D12" s="105" t="s">
        <v>46</v>
      </c>
      <c r="E12" s="105"/>
      <c r="F12" s="105"/>
      <c r="G12" s="105"/>
      <c r="H12" s="105"/>
      <c r="I12" s="105"/>
      <c r="J12" s="105"/>
      <c r="K12" s="105"/>
    </row>
    <row r="13" spans="3:12" ht="45.75">
      <c r="D13" s="105" t="s">
        <v>131</v>
      </c>
      <c r="E13" s="105"/>
      <c r="F13" s="105"/>
      <c r="G13" s="105"/>
      <c r="H13" s="105"/>
      <c r="I13" s="105"/>
      <c r="J13" s="105"/>
      <c r="K13" s="105"/>
      <c r="L13" s="77"/>
    </row>
    <row r="14" spans="3:12" ht="45.75">
      <c r="C14" s="75" t="s">
        <v>86</v>
      </c>
      <c r="D14" s="105" t="s">
        <v>188</v>
      </c>
      <c r="E14" s="105"/>
      <c r="F14" s="105"/>
      <c r="G14" s="105"/>
      <c r="H14" s="105"/>
      <c r="I14" s="105"/>
      <c r="J14" s="105"/>
      <c r="K14" s="105"/>
    </row>
    <row r="15" spans="3:12" ht="45.75">
      <c r="C15" s="75" t="s">
        <v>86</v>
      </c>
      <c r="D15" s="105" t="s">
        <v>53</v>
      </c>
      <c r="E15" s="105"/>
      <c r="F15" s="105"/>
      <c r="G15" s="105"/>
      <c r="H15" s="105"/>
      <c r="I15" s="105"/>
      <c r="J15" s="105"/>
      <c r="K15" s="105"/>
    </row>
    <row r="21" spans="5:23">
      <c r="E21" s="12" t="s">
        <v>166</v>
      </c>
    </row>
    <row r="22" spans="5:23">
      <c r="E22" s="44" t="s">
        <v>128</v>
      </c>
    </row>
    <row r="23" spans="5:23">
      <c r="E23" s="44" t="s">
        <v>68</v>
      </c>
    </row>
    <row r="24" spans="5:23">
      <c r="E24" s="4" t="s">
        <v>129</v>
      </c>
    </row>
    <row r="25" spans="5:23">
      <c r="E25" s="4" t="s">
        <v>130</v>
      </c>
    </row>
    <row r="30" spans="5:23">
      <c r="U30" s="45"/>
      <c r="V30" s="46"/>
      <c r="W30" s="46"/>
    </row>
    <row r="31" spans="5:23">
      <c r="U31" s="45"/>
      <c r="V31" s="45"/>
      <c r="W31" s="45"/>
    </row>
  </sheetData>
  <mergeCells count="4">
    <mergeCell ref="D12:K12"/>
    <mergeCell ref="D13:K13"/>
    <mergeCell ref="D14:K14"/>
    <mergeCell ref="D15:K15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A50"/>
  <sheetViews>
    <sheetView showGridLines="0" zoomScaleNormal="100" zoomScaleSheetLayoutView="75" workbookViewId="0">
      <pane xSplit="1" ySplit="3" topLeftCell="BK19" activePane="bottomRight" state="frozen"/>
      <selection activeCell="AJ26" sqref="AJ26"/>
      <selection pane="topRight" activeCell="AJ26" sqref="AJ26"/>
      <selection pane="bottomLeft" activeCell="AJ26" sqref="AJ26"/>
      <selection pane="bottomRight" activeCell="BX36" sqref="BX36"/>
    </sheetView>
  </sheetViews>
  <sheetFormatPr defaultColWidth="9.140625" defaultRowHeight="12.75"/>
  <cols>
    <col min="1" max="1" width="31.140625" style="4" customWidth="1"/>
    <col min="2" max="2" width="4.28515625" style="10" customWidth="1"/>
    <col min="3" max="6" width="9.140625" style="4" customWidth="1"/>
    <col min="7" max="7" width="9.140625" style="12" customWidth="1"/>
    <col min="8" max="8" width="4.85546875" style="3" customWidth="1"/>
    <col min="9" max="12" width="9.140625" style="4" customWidth="1"/>
    <col min="13" max="13" width="9.140625" style="12" customWidth="1"/>
    <col min="14" max="14" width="4.85546875" style="4" customWidth="1"/>
    <col min="15" max="18" width="9.140625" style="4" customWidth="1"/>
    <col min="19" max="19" width="9.140625" style="12" customWidth="1"/>
    <col min="20" max="20" width="4.85546875" style="4" customWidth="1"/>
    <col min="21" max="24" width="9.140625" style="4" customWidth="1"/>
    <col min="25" max="25" width="9.140625" style="12" customWidth="1"/>
    <col min="26" max="26" width="4.85546875" style="4" customWidth="1"/>
    <col min="27" max="30" width="9.140625" style="4" customWidth="1"/>
    <col min="31" max="31" width="9.28515625" style="12" customWidth="1"/>
    <col min="32" max="32" width="4.85546875" style="4" customWidth="1"/>
    <col min="33" max="33" width="9.28515625" style="4" customWidth="1"/>
    <col min="34" max="34" width="9.42578125" style="4" customWidth="1"/>
    <col min="35" max="36" width="9.28515625" style="4" customWidth="1"/>
    <col min="37" max="37" width="9.28515625" style="12" customWidth="1"/>
    <col min="38" max="38" width="4.7109375" style="4" customWidth="1"/>
    <col min="39" max="41" width="9.28515625" style="4" customWidth="1"/>
    <col min="42" max="42" width="9.42578125" style="4" customWidth="1"/>
    <col min="43" max="43" width="9.7109375" style="12" customWidth="1"/>
    <col min="44" max="44" width="4.7109375" style="4" customWidth="1"/>
    <col min="45" max="49" width="9.28515625" style="4" customWidth="1"/>
    <col min="50" max="50" width="9.140625" style="4" customWidth="1"/>
    <col min="51" max="55" width="9.28515625" style="4" bestFit="1" customWidth="1"/>
    <col min="56" max="56" width="9.140625" style="4"/>
    <col min="57" max="61" width="9.28515625" style="4" bestFit="1" customWidth="1"/>
    <col min="62" max="62" width="9.140625" style="4"/>
    <col min="63" max="67" width="9.28515625" style="4" bestFit="1" customWidth="1"/>
    <col min="68" max="16384" width="9.140625" style="4"/>
  </cols>
  <sheetData>
    <row r="1" spans="1:79">
      <c r="C1" s="106" t="s">
        <v>157</v>
      </c>
      <c r="D1" s="106"/>
      <c r="E1" s="106"/>
      <c r="F1" s="106"/>
      <c r="G1" s="106"/>
      <c r="I1" s="106" t="s">
        <v>157</v>
      </c>
      <c r="J1" s="106"/>
      <c r="K1" s="106"/>
      <c r="L1" s="106"/>
      <c r="M1" s="106"/>
      <c r="O1" s="106" t="s">
        <v>157</v>
      </c>
      <c r="P1" s="106"/>
      <c r="Q1" s="106"/>
      <c r="R1" s="106"/>
      <c r="S1" s="106"/>
      <c r="U1" s="106" t="s">
        <v>157</v>
      </c>
      <c r="V1" s="106"/>
      <c r="W1" s="106"/>
      <c r="X1" s="106"/>
      <c r="Y1" s="106"/>
      <c r="AA1" s="106" t="s">
        <v>132</v>
      </c>
      <c r="AB1" s="106"/>
      <c r="AC1" s="106"/>
      <c r="AD1" s="106"/>
      <c r="AE1" s="106"/>
      <c r="AG1" s="106" t="s">
        <v>132</v>
      </c>
      <c r="AH1" s="106"/>
      <c r="AI1" s="106"/>
      <c r="AJ1" s="106"/>
      <c r="AK1" s="106"/>
      <c r="AM1" s="106" t="s">
        <v>132</v>
      </c>
      <c r="AN1" s="106"/>
      <c r="AO1" s="106"/>
      <c r="AP1" s="106"/>
      <c r="AQ1" s="106"/>
      <c r="AS1" s="106" t="s">
        <v>132</v>
      </c>
      <c r="AT1" s="106"/>
      <c r="AU1" s="106"/>
      <c r="AV1" s="106"/>
      <c r="AW1" s="106"/>
      <c r="AY1" s="106" t="s">
        <v>132</v>
      </c>
      <c r="AZ1" s="106"/>
      <c r="BA1" s="106"/>
      <c r="BB1" s="106"/>
      <c r="BC1" s="106"/>
      <c r="BE1" s="106" t="s">
        <v>132</v>
      </c>
      <c r="BF1" s="106"/>
      <c r="BG1" s="106"/>
      <c r="BH1" s="106"/>
      <c r="BI1" s="106"/>
      <c r="BK1" s="106" t="s">
        <v>132</v>
      </c>
      <c r="BL1" s="106"/>
      <c r="BM1" s="106"/>
      <c r="BN1" s="106"/>
      <c r="BO1" s="106"/>
      <c r="BQ1" s="106" t="s">
        <v>132</v>
      </c>
      <c r="BR1" s="106"/>
      <c r="BS1" s="106"/>
      <c r="BT1" s="106"/>
      <c r="BU1" s="106"/>
      <c r="BW1" s="106" t="s">
        <v>132</v>
      </c>
      <c r="BX1" s="106"/>
      <c r="BY1" s="106"/>
      <c r="BZ1" s="106"/>
      <c r="CA1" s="106"/>
    </row>
    <row r="2" spans="1:79">
      <c r="A2" s="1" t="s">
        <v>46</v>
      </c>
      <c r="B2" s="2"/>
      <c r="C2" s="107">
        <v>2001</v>
      </c>
      <c r="D2" s="107"/>
      <c r="E2" s="107"/>
      <c r="F2" s="107"/>
      <c r="G2" s="107"/>
      <c r="I2" s="107">
        <v>2002</v>
      </c>
      <c r="J2" s="107"/>
      <c r="K2" s="107"/>
      <c r="L2" s="107"/>
      <c r="M2" s="107"/>
      <c r="O2" s="107">
        <v>2003</v>
      </c>
      <c r="P2" s="107"/>
      <c r="Q2" s="107"/>
      <c r="R2" s="107"/>
      <c r="S2" s="107"/>
      <c r="U2" s="107">
        <v>2004</v>
      </c>
      <c r="V2" s="107"/>
      <c r="W2" s="107"/>
      <c r="X2" s="107"/>
      <c r="Y2" s="107"/>
      <c r="AA2" s="107">
        <v>2004</v>
      </c>
      <c r="AB2" s="107"/>
      <c r="AC2" s="107"/>
      <c r="AD2" s="107"/>
      <c r="AE2" s="107"/>
      <c r="AG2" s="107">
        <v>2005</v>
      </c>
      <c r="AH2" s="107"/>
      <c r="AI2" s="107"/>
      <c r="AJ2" s="107"/>
      <c r="AK2" s="107"/>
      <c r="AM2" s="107">
        <v>2006</v>
      </c>
      <c r="AN2" s="107"/>
      <c r="AO2" s="107"/>
      <c r="AP2" s="107"/>
      <c r="AQ2" s="107"/>
      <c r="AS2" s="107">
        <v>2007</v>
      </c>
      <c r="AT2" s="107"/>
      <c r="AU2" s="107"/>
      <c r="AV2" s="107"/>
      <c r="AW2" s="107"/>
      <c r="AY2" s="107">
        <v>2008</v>
      </c>
      <c r="AZ2" s="107"/>
      <c r="BA2" s="107"/>
      <c r="BB2" s="107"/>
      <c r="BC2" s="107"/>
      <c r="BE2" s="107">
        <v>2009</v>
      </c>
      <c r="BF2" s="107"/>
      <c r="BG2" s="107"/>
      <c r="BH2" s="107"/>
      <c r="BI2" s="107"/>
      <c r="BK2" s="107">
        <v>2010</v>
      </c>
      <c r="BL2" s="107"/>
      <c r="BM2" s="107"/>
      <c r="BN2" s="107"/>
      <c r="BO2" s="107"/>
      <c r="BQ2" s="107">
        <v>2011</v>
      </c>
      <c r="BR2" s="107"/>
      <c r="BS2" s="107"/>
      <c r="BT2" s="107"/>
      <c r="BU2" s="107"/>
      <c r="BW2" s="107">
        <v>2012</v>
      </c>
      <c r="BX2" s="107"/>
      <c r="BY2" s="107"/>
      <c r="BZ2" s="107"/>
      <c r="CA2" s="107"/>
    </row>
    <row r="3" spans="1:79">
      <c r="A3" s="5" t="s">
        <v>133</v>
      </c>
      <c r="B3" s="6"/>
      <c r="C3" s="71" t="s">
        <v>10</v>
      </c>
      <c r="D3" s="71" t="s">
        <v>11</v>
      </c>
      <c r="E3" s="71" t="s">
        <v>12</v>
      </c>
      <c r="F3" s="71" t="s">
        <v>13</v>
      </c>
      <c r="G3" s="8" t="s">
        <v>14</v>
      </c>
      <c r="H3" s="9"/>
      <c r="I3" s="71" t="s">
        <v>10</v>
      </c>
      <c r="J3" s="71" t="s">
        <v>11</v>
      </c>
      <c r="K3" s="71" t="s">
        <v>12</v>
      </c>
      <c r="L3" s="71" t="s">
        <v>13</v>
      </c>
      <c r="M3" s="8" t="s">
        <v>14</v>
      </c>
      <c r="O3" s="71" t="s">
        <v>10</v>
      </c>
      <c r="P3" s="71" t="s">
        <v>11</v>
      </c>
      <c r="Q3" s="71" t="s">
        <v>12</v>
      </c>
      <c r="R3" s="71" t="s">
        <v>13</v>
      </c>
      <c r="S3" s="8" t="s">
        <v>14</v>
      </c>
      <c r="U3" s="71" t="s">
        <v>10</v>
      </c>
      <c r="V3" s="71" t="s">
        <v>11</v>
      </c>
      <c r="W3" s="71" t="s">
        <v>12</v>
      </c>
      <c r="X3" s="71" t="s">
        <v>13</v>
      </c>
      <c r="Y3" s="8" t="s">
        <v>14</v>
      </c>
      <c r="AA3" s="71" t="s">
        <v>10</v>
      </c>
      <c r="AB3" s="71" t="s">
        <v>11</v>
      </c>
      <c r="AC3" s="71" t="s">
        <v>12</v>
      </c>
      <c r="AD3" s="71" t="s">
        <v>13</v>
      </c>
      <c r="AE3" s="8" t="s">
        <v>14</v>
      </c>
      <c r="AG3" s="71" t="s">
        <v>10</v>
      </c>
      <c r="AH3" s="71" t="s">
        <v>11</v>
      </c>
      <c r="AI3" s="71" t="s">
        <v>12</v>
      </c>
      <c r="AJ3" s="71" t="s">
        <v>13</v>
      </c>
      <c r="AK3" s="8" t="s">
        <v>14</v>
      </c>
      <c r="AM3" s="71" t="s">
        <v>10</v>
      </c>
      <c r="AN3" s="71" t="s">
        <v>11</v>
      </c>
      <c r="AO3" s="71" t="s">
        <v>12</v>
      </c>
      <c r="AP3" s="71" t="s">
        <v>13</v>
      </c>
      <c r="AQ3" s="8" t="s">
        <v>14</v>
      </c>
      <c r="AS3" s="71" t="s">
        <v>10</v>
      </c>
      <c r="AT3" s="71" t="s">
        <v>11</v>
      </c>
      <c r="AU3" s="71" t="s">
        <v>12</v>
      </c>
      <c r="AV3" s="71" t="s">
        <v>13</v>
      </c>
      <c r="AW3" s="8" t="s">
        <v>14</v>
      </c>
      <c r="AY3" s="71" t="s">
        <v>10</v>
      </c>
      <c r="AZ3" s="71" t="s">
        <v>11</v>
      </c>
      <c r="BA3" s="71" t="s">
        <v>12</v>
      </c>
      <c r="BB3" s="71" t="s">
        <v>13</v>
      </c>
      <c r="BC3" s="8" t="s">
        <v>14</v>
      </c>
      <c r="BE3" s="71" t="s">
        <v>10</v>
      </c>
      <c r="BF3" s="71" t="s">
        <v>11</v>
      </c>
      <c r="BG3" s="71" t="s">
        <v>12</v>
      </c>
      <c r="BH3" s="71" t="s">
        <v>13</v>
      </c>
      <c r="BI3" s="8" t="s">
        <v>14</v>
      </c>
      <c r="BK3" s="71" t="s">
        <v>10</v>
      </c>
      <c r="BL3" s="71" t="s">
        <v>11</v>
      </c>
      <c r="BM3" s="71" t="s">
        <v>12</v>
      </c>
      <c r="BN3" s="71" t="s">
        <v>13</v>
      </c>
      <c r="BO3" s="8" t="s">
        <v>14</v>
      </c>
      <c r="BQ3" s="71" t="s">
        <v>10</v>
      </c>
      <c r="BR3" s="71" t="s">
        <v>11</v>
      </c>
      <c r="BS3" s="71" t="s">
        <v>12</v>
      </c>
      <c r="BT3" s="71" t="s">
        <v>13</v>
      </c>
      <c r="BU3" s="8" t="s">
        <v>14</v>
      </c>
      <c r="BW3" s="71" t="s">
        <v>10</v>
      </c>
      <c r="BX3" s="71" t="s">
        <v>11</v>
      </c>
      <c r="BY3" s="71" t="s">
        <v>12</v>
      </c>
      <c r="BZ3" s="71" t="s">
        <v>13</v>
      </c>
      <c r="CA3" s="8" t="s">
        <v>14</v>
      </c>
    </row>
    <row r="4" spans="1:79">
      <c r="G4" s="5"/>
      <c r="M4" s="5"/>
      <c r="S4" s="5"/>
      <c r="Y4" s="5"/>
      <c r="AE4" s="5"/>
      <c r="AK4" s="5"/>
      <c r="AQ4" s="5"/>
      <c r="AW4" s="5"/>
      <c r="BC4" s="5"/>
      <c r="BI4" s="5"/>
      <c r="BO4" s="5"/>
      <c r="BU4" s="5"/>
      <c r="CA4" s="5"/>
    </row>
    <row r="5" spans="1:79" s="12" customFormat="1" ht="18.75" customHeight="1">
      <c r="A5" s="12" t="s">
        <v>116</v>
      </c>
      <c r="B5" s="6"/>
      <c r="C5" s="33">
        <v>1538</v>
      </c>
      <c r="D5" s="33">
        <v>1682</v>
      </c>
      <c r="E5" s="33">
        <v>1621</v>
      </c>
      <c r="F5" s="33">
        <v>1585</v>
      </c>
      <c r="G5" s="21">
        <f>SUM(C5:F5)</f>
        <v>6426</v>
      </c>
      <c r="H5" s="16"/>
      <c r="I5" s="33">
        <v>1351</v>
      </c>
      <c r="J5" s="33">
        <v>1530</v>
      </c>
      <c r="K5" s="33">
        <v>1520</v>
      </c>
      <c r="L5" s="33">
        <v>1488</v>
      </c>
      <c r="M5" s="21">
        <f>SUM(I5:L5)</f>
        <v>5889</v>
      </c>
      <c r="O5" s="33">
        <v>1334</v>
      </c>
      <c r="P5" s="33">
        <v>1468</v>
      </c>
      <c r="Q5" s="33">
        <v>1532</v>
      </c>
      <c r="R5" s="33">
        <v>1490</v>
      </c>
      <c r="S5" s="21">
        <f>SUM(O5:R5)</f>
        <v>5824</v>
      </c>
      <c r="U5" s="33">
        <v>1430</v>
      </c>
      <c r="V5" s="33">
        <v>2000</v>
      </c>
      <c r="W5" s="33">
        <f>'Segment Data'!W14</f>
        <v>2136</v>
      </c>
      <c r="X5" s="33">
        <v>2159</v>
      </c>
      <c r="Y5" s="21">
        <f>SUM(U5:X5)</f>
        <v>7725</v>
      </c>
      <c r="AA5" s="33">
        <v>1304</v>
      </c>
      <c r="AB5" s="33">
        <v>1855</v>
      </c>
      <c r="AC5" s="33">
        <v>1977</v>
      </c>
      <c r="AD5" s="33">
        <v>2002</v>
      </c>
      <c r="AE5" s="21">
        <f>SUM(AA5:AD5)</f>
        <v>7138</v>
      </c>
      <c r="AG5" s="33">
        <v>1866</v>
      </c>
      <c r="AH5" s="33">
        <v>2292</v>
      </c>
      <c r="AI5" s="33">
        <v>2231</v>
      </c>
      <c r="AJ5" s="33">
        <v>2361</v>
      </c>
      <c r="AK5" s="21">
        <f>SUM(AG5:AJ5)</f>
        <v>8750</v>
      </c>
      <c r="AM5" s="33">
        <v>2412</v>
      </c>
      <c r="AN5" s="33">
        <f>'Segment Data'!AN14</f>
        <v>2837</v>
      </c>
      <c r="AO5" s="33">
        <v>2703</v>
      </c>
      <c r="AP5" s="33">
        <v>2863</v>
      </c>
      <c r="AQ5" s="21">
        <f>SUM(AM5:AP5)</f>
        <v>10815</v>
      </c>
      <c r="AS5" s="33">
        <v>3130</v>
      </c>
      <c r="AT5" s="33">
        <v>3612</v>
      </c>
      <c r="AU5" s="33">
        <v>3356</v>
      </c>
      <c r="AV5" s="33">
        <v>3427</v>
      </c>
      <c r="AW5" s="21">
        <f>SUM(AS5:AV5)</f>
        <v>13525</v>
      </c>
      <c r="AY5" s="33">
        <v>3366</v>
      </c>
      <c r="AZ5" s="33">
        <v>3789</v>
      </c>
      <c r="BA5" s="33">
        <v>3528</v>
      </c>
      <c r="BB5" s="33">
        <v>3145</v>
      </c>
      <c r="BC5" s="21">
        <f>SUM(AY5:BB5)</f>
        <v>13828</v>
      </c>
      <c r="BE5" s="33">
        <v>2635</v>
      </c>
      <c r="BF5" s="33">
        <v>3144</v>
      </c>
      <c r="BG5" s="33">
        <v>2981</v>
      </c>
      <c r="BH5" s="33">
        <v>2927</v>
      </c>
      <c r="BI5" s="21">
        <f>SUM(BE5:BH5)</f>
        <v>11687</v>
      </c>
      <c r="BK5" s="33">
        <v>3062</v>
      </c>
      <c r="BL5" s="33">
        <v>3635</v>
      </c>
      <c r="BM5" s="33">
        <v>3725</v>
      </c>
      <c r="BN5" s="33">
        <v>4029</v>
      </c>
      <c r="BO5" s="21">
        <f>SUM(BK5:BN5)</f>
        <v>14451</v>
      </c>
      <c r="BQ5" s="33">
        <f>+'Segment Data'!BQ14</f>
        <v>3774</v>
      </c>
      <c r="BR5" s="33">
        <f>+'Segment Data'!BR14</f>
        <v>4016</v>
      </c>
      <c r="BS5" s="33">
        <f>+'Segment Data'!BS14</f>
        <v>3912</v>
      </c>
      <c r="BT5" s="33">
        <f>+'Segment Data'!BT14</f>
        <v>3902</v>
      </c>
      <c r="BU5" s="21">
        <f>SUM(BQ5:BT5)</f>
        <v>15604</v>
      </c>
      <c r="BW5" s="33">
        <f>+'Segment Data'!BW14</f>
        <v>3531</v>
      </c>
      <c r="BX5" s="33">
        <f>+'Segment Data'!BX14</f>
        <v>3904</v>
      </c>
      <c r="BY5" s="33">
        <f>+'Segment Data'!BY14</f>
        <v>0</v>
      </c>
      <c r="BZ5" s="33">
        <f>+'Segment Data'!BZ14</f>
        <v>0</v>
      </c>
      <c r="CA5" s="21">
        <f>SUM(BW5:BZ5)</f>
        <v>7435</v>
      </c>
    </row>
    <row r="6" spans="1:79" ht="6" customHeight="1">
      <c r="C6" s="14"/>
      <c r="D6" s="14"/>
      <c r="E6" s="14"/>
      <c r="F6" s="14"/>
      <c r="G6" s="15"/>
      <c r="H6" s="16"/>
      <c r="I6" s="14"/>
      <c r="J6" s="14"/>
      <c r="K6" s="14"/>
      <c r="L6" s="14"/>
      <c r="M6" s="15"/>
      <c r="O6" s="14"/>
      <c r="P6" s="14"/>
      <c r="Q6" s="14"/>
      <c r="R6" s="14"/>
      <c r="S6" s="15"/>
      <c r="U6" s="14"/>
      <c r="V6" s="14"/>
      <c r="W6" s="14"/>
      <c r="X6" s="14"/>
      <c r="Y6" s="15"/>
      <c r="AA6" s="14"/>
      <c r="AB6" s="14"/>
      <c r="AC6" s="14"/>
      <c r="AD6" s="14"/>
      <c r="AE6" s="15"/>
      <c r="AG6" s="14"/>
      <c r="AH6" s="14"/>
      <c r="AI6" s="14"/>
      <c r="AJ6" s="14"/>
      <c r="AK6" s="15"/>
      <c r="AM6" s="14"/>
      <c r="AN6" s="14"/>
      <c r="AO6" s="14"/>
      <c r="AP6" s="14"/>
      <c r="AQ6" s="15"/>
      <c r="AS6" s="14"/>
      <c r="AT6" s="14"/>
      <c r="AU6" s="14"/>
      <c r="AV6" s="14"/>
      <c r="AW6" s="15"/>
      <c r="AY6" s="14"/>
      <c r="AZ6" s="14"/>
      <c r="BA6" s="14"/>
      <c r="BB6" s="14"/>
      <c r="BC6" s="15"/>
      <c r="BE6" s="14"/>
      <c r="BF6" s="14"/>
      <c r="BG6" s="14"/>
      <c r="BH6" s="14"/>
      <c r="BI6" s="15"/>
      <c r="BK6" s="14"/>
      <c r="BL6" s="14"/>
      <c r="BM6" s="14"/>
      <c r="BN6" s="14"/>
      <c r="BO6" s="15"/>
      <c r="BQ6" s="14"/>
      <c r="BR6" s="14"/>
      <c r="BS6" s="14"/>
      <c r="BT6" s="14"/>
      <c r="BU6" s="15"/>
      <c r="BW6" s="14"/>
      <c r="BX6" s="14"/>
      <c r="BY6" s="14"/>
      <c r="BZ6" s="14"/>
      <c r="CA6" s="15"/>
    </row>
    <row r="7" spans="1:79" s="12" customFormat="1" ht="18.75" customHeight="1">
      <c r="A7" s="12" t="s">
        <v>1</v>
      </c>
      <c r="B7" s="6"/>
      <c r="C7" s="19">
        <v>37</v>
      </c>
      <c r="D7" s="19">
        <v>169</v>
      </c>
      <c r="E7" s="19">
        <v>52</v>
      </c>
      <c r="F7" s="19">
        <v>57</v>
      </c>
      <c r="G7" s="15">
        <f>SUM(C7:F7)</f>
        <v>315</v>
      </c>
      <c r="H7" s="16"/>
      <c r="I7" s="19">
        <v>66</v>
      </c>
      <c r="J7" s="19">
        <v>86</v>
      </c>
      <c r="K7" s="19">
        <v>95</v>
      </c>
      <c r="L7" s="19">
        <v>-79</v>
      </c>
      <c r="M7" s="15">
        <f>SUM(I7:L7)</f>
        <v>168</v>
      </c>
      <c r="O7" s="19">
        <v>66</v>
      </c>
      <c r="P7" s="19">
        <v>101</v>
      </c>
      <c r="Q7" s="19">
        <v>108</v>
      </c>
      <c r="R7" s="19">
        <v>111</v>
      </c>
      <c r="S7" s="15">
        <f>SUM(O7:R7)</f>
        <v>386</v>
      </c>
      <c r="U7" s="19">
        <v>71</v>
      </c>
      <c r="V7" s="19">
        <v>149</v>
      </c>
      <c r="W7" s="19">
        <f>'Segment Data'!W28</f>
        <v>271</v>
      </c>
      <c r="X7" s="19">
        <v>125</v>
      </c>
      <c r="Y7" s="15">
        <f>SUM(U7:X7)</f>
        <v>616</v>
      </c>
      <c r="AA7" s="19">
        <v>68</v>
      </c>
      <c r="AB7" s="19">
        <v>-37</v>
      </c>
      <c r="AC7" s="19">
        <v>263</v>
      </c>
      <c r="AD7" s="19">
        <v>139</v>
      </c>
      <c r="AE7" s="15">
        <f>SUM(AA7:AD7)</f>
        <v>433</v>
      </c>
      <c r="AG7" s="19">
        <v>125</v>
      </c>
      <c r="AH7" s="19">
        <v>174</v>
      </c>
      <c r="AI7" s="19">
        <v>190</v>
      </c>
      <c r="AJ7" s="19">
        <v>224</v>
      </c>
      <c r="AK7" s="15">
        <f>SUM(AG7:AJ7)</f>
        <v>713</v>
      </c>
      <c r="AM7" s="19">
        <v>176</v>
      </c>
      <c r="AN7" s="19">
        <v>373</v>
      </c>
      <c r="AO7" s="19">
        <v>255</v>
      </c>
      <c r="AP7" s="19">
        <v>218</v>
      </c>
      <c r="AQ7" s="15">
        <f>SUM(AM7:AP7)</f>
        <v>1022</v>
      </c>
      <c r="AS7" s="19">
        <v>256</v>
      </c>
      <c r="AT7" s="19">
        <v>397</v>
      </c>
      <c r="AU7" s="19">
        <v>333</v>
      </c>
      <c r="AV7" s="19">
        <v>447</v>
      </c>
      <c r="AW7" s="15">
        <f>SUM(AS7:AV7)</f>
        <v>1433</v>
      </c>
      <c r="AY7" s="19">
        <v>305</v>
      </c>
      <c r="AZ7" s="19">
        <v>461</v>
      </c>
      <c r="BA7" s="19">
        <v>329</v>
      </c>
      <c r="BB7" s="19">
        <v>123</v>
      </c>
      <c r="BC7" s="15">
        <f>SUM(AY7:BB7)</f>
        <v>1218</v>
      </c>
      <c r="BE7" s="19">
        <v>127</v>
      </c>
      <c r="BF7" s="19">
        <v>237</v>
      </c>
      <c r="BG7" s="19">
        <v>225</v>
      </c>
      <c r="BH7" s="19">
        <v>194</v>
      </c>
      <c r="BI7" s="15">
        <f>SUM(BE7:BH7)</f>
        <v>783</v>
      </c>
      <c r="BK7" s="19">
        <v>213</v>
      </c>
      <c r="BL7" s="19">
        <v>258</v>
      </c>
      <c r="BM7" s="19">
        <v>250</v>
      </c>
      <c r="BN7" s="19">
        <v>178</v>
      </c>
      <c r="BO7" s="15">
        <f>SUM(BK7:BN7)</f>
        <v>899</v>
      </c>
      <c r="BQ7" s="19">
        <f>+'Segment Data'!BQ28</f>
        <v>216</v>
      </c>
      <c r="BR7" s="19">
        <f>+'Segment Data'!BR28</f>
        <v>210</v>
      </c>
      <c r="BS7" s="19">
        <f>+'Segment Data'!BS28</f>
        <v>312</v>
      </c>
      <c r="BT7" s="19">
        <f>+'Segment Data'!BT28</f>
        <v>265</v>
      </c>
      <c r="BU7" s="15">
        <f>SUM(BQ7:BT7)</f>
        <v>1003</v>
      </c>
      <c r="BW7" s="19">
        <f>+'Segment Data'!BW28</f>
        <v>228</v>
      </c>
      <c r="BX7" s="19">
        <f>+'Segment Data'!BX28</f>
        <v>229</v>
      </c>
      <c r="BY7" s="19">
        <f>+'Segment Data'!BY28</f>
        <v>0</v>
      </c>
      <c r="BZ7" s="19">
        <f>+'Segment Data'!BZ28</f>
        <v>0</v>
      </c>
      <c r="CA7" s="15">
        <f>SUM(BW7:BZ7)</f>
        <v>457</v>
      </c>
    </row>
    <row r="8" spans="1:79">
      <c r="A8" s="4" t="s">
        <v>79</v>
      </c>
      <c r="C8" s="14">
        <f>-75</f>
        <v>-75</v>
      </c>
      <c r="D8" s="14">
        <f>-74-2</f>
        <v>-76</v>
      </c>
      <c r="E8" s="14">
        <f>-80-3</f>
        <v>-83</v>
      </c>
      <c r="F8" s="14">
        <f>-87-4</f>
        <v>-91</v>
      </c>
      <c r="G8" s="15">
        <f>SUM(C8:F8)</f>
        <v>-325</v>
      </c>
      <c r="H8" s="16"/>
      <c r="I8" s="14">
        <f>-79-3</f>
        <v>-82</v>
      </c>
      <c r="J8" s="14">
        <f>-81-2</f>
        <v>-83</v>
      </c>
      <c r="K8" s="14">
        <f>-77-3</f>
        <v>-80</v>
      </c>
      <c r="L8" s="14">
        <f>-78-1</f>
        <v>-79</v>
      </c>
      <c r="M8" s="15">
        <f>SUM(I8:L8)</f>
        <v>-324</v>
      </c>
      <c r="O8" s="14">
        <f>-50-2</f>
        <v>-52</v>
      </c>
      <c r="P8" s="14">
        <f>-49-2</f>
        <v>-51</v>
      </c>
      <c r="Q8" s="14">
        <f>-47-5</f>
        <v>-52</v>
      </c>
      <c r="R8" s="14">
        <f>-52-5</f>
        <v>-57</v>
      </c>
      <c r="S8" s="15">
        <f>SUM(O8:R8)</f>
        <v>-212</v>
      </c>
      <c r="U8" s="14">
        <f>-52+5</f>
        <v>-47</v>
      </c>
      <c r="V8" s="14">
        <f>-61+8</f>
        <v>-53</v>
      </c>
      <c r="W8" s="14">
        <f>-59+8</f>
        <v>-51</v>
      </c>
      <c r="X8" s="14">
        <f>-63+10</f>
        <v>-53</v>
      </c>
      <c r="Y8" s="15">
        <f>SUM(U8:X8)</f>
        <v>-204</v>
      </c>
      <c r="AA8" s="14">
        <v>-40</v>
      </c>
      <c r="AB8" s="14">
        <v>-46</v>
      </c>
      <c r="AC8" s="14">
        <v>-44</v>
      </c>
      <c r="AD8" s="14">
        <v>-44</v>
      </c>
      <c r="AE8" s="15">
        <f>SUM(AA8:AD8)</f>
        <v>-174</v>
      </c>
      <c r="AG8" s="14">
        <v>-38</v>
      </c>
      <c r="AH8" s="14">
        <v>-35</v>
      </c>
      <c r="AI8" s="14">
        <v>-37</v>
      </c>
      <c r="AJ8" s="14">
        <v>-49</v>
      </c>
      <c r="AK8" s="15">
        <f>SUM(AG8:AJ8)</f>
        <v>-159</v>
      </c>
      <c r="AM8" s="14">
        <v>-35</v>
      </c>
      <c r="AN8" s="14">
        <v>-32</v>
      </c>
      <c r="AO8" s="14">
        <v>-37</v>
      </c>
      <c r="AP8" s="14">
        <v>-35</v>
      </c>
      <c r="AQ8" s="15">
        <f>SUM(AM8:AP8)</f>
        <v>-139</v>
      </c>
      <c r="AS8" s="14">
        <v>-43</v>
      </c>
      <c r="AT8" s="14">
        <v>-42</v>
      </c>
      <c r="AU8" s="14">
        <v>-56</v>
      </c>
      <c r="AV8" s="14">
        <v>-51</v>
      </c>
      <c r="AW8" s="15">
        <f>SUM(AS8:AV8)</f>
        <v>-192</v>
      </c>
      <c r="AY8" s="14">
        <v>-54</v>
      </c>
      <c r="AZ8" s="14">
        <v>-55</v>
      </c>
      <c r="BA8" s="14">
        <v>-59</v>
      </c>
      <c r="BB8" s="14">
        <v>-54</v>
      </c>
      <c r="BC8" s="15">
        <f>SUM(AY8:BB8)</f>
        <v>-222</v>
      </c>
      <c r="BE8" s="14">
        <v>-59</v>
      </c>
      <c r="BF8" s="14">
        <v>-60</v>
      </c>
      <c r="BG8" s="14">
        <v>-63</v>
      </c>
      <c r="BH8" s="14">
        <v>-61</v>
      </c>
      <c r="BI8" s="15">
        <f>SUM(BE8:BH8)</f>
        <v>-243</v>
      </c>
      <c r="BK8" s="14">
        <v>-62</v>
      </c>
      <c r="BL8" s="14">
        <v>-67</v>
      </c>
      <c r="BM8" s="14">
        <v>-70</v>
      </c>
      <c r="BN8" s="14">
        <v>-80</v>
      </c>
      <c r="BO8" s="15">
        <f>SUM(BK8:BN8)</f>
        <v>-279</v>
      </c>
      <c r="BQ8" s="14">
        <v>-81</v>
      </c>
      <c r="BR8" s="14">
        <v>-80</v>
      </c>
      <c r="BS8" s="14">
        <v>-87</v>
      </c>
      <c r="BT8" s="58">
        <v>-88</v>
      </c>
      <c r="BU8" s="15">
        <f>SUM(BQ8:BT8)</f>
        <v>-336</v>
      </c>
      <c r="BW8" s="14">
        <v>-86</v>
      </c>
      <c r="BX8" s="14">
        <v>-88</v>
      </c>
      <c r="BY8" s="14"/>
      <c r="BZ8" s="58"/>
      <c r="CA8" s="15">
        <f>SUM(BW8:BZ8)</f>
        <v>-174</v>
      </c>
    </row>
    <row r="9" spans="1:79">
      <c r="A9" s="4" t="s">
        <v>80</v>
      </c>
      <c r="C9" s="14"/>
      <c r="D9" s="14"/>
      <c r="E9" s="14"/>
      <c r="F9" s="14"/>
      <c r="G9" s="15"/>
      <c r="H9" s="16"/>
      <c r="I9" s="14"/>
      <c r="J9" s="14"/>
      <c r="K9" s="14"/>
      <c r="L9" s="14"/>
      <c r="M9" s="15"/>
      <c r="O9" s="14"/>
      <c r="P9" s="14"/>
      <c r="Q9" s="14"/>
      <c r="R9" s="14"/>
      <c r="S9" s="15"/>
      <c r="U9" s="14">
        <v>-5</v>
      </c>
      <c r="V9" s="14">
        <v>-8</v>
      </c>
      <c r="W9" s="14">
        <v>-8</v>
      </c>
      <c r="X9" s="14">
        <v>-10</v>
      </c>
      <c r="Y9" s="15">
        <f>SUM(U9:X9)</f>
        <v>-31</v>
      </c>
      <c r="AA9" s="14">
        <v>-5</v>
      </c>
      <c r="AB9" s="14">
        <v>-8</v>
      </c>
      <c r="AC9" s="14">
        <v>-8</v>
      </c>
      <c r="AD9" s="14">
        <v>-14</v>
      </c>
      <c r="AE9" s="15">
        <f>SUM(AA9:AD9)</f>
        <v>-35</v>
      </c>
      <c r="AG9" s="14">
        <v>-13</v>
      </c>
      <c r="AH9" s="14">
        <v>-14</v>
      </c>
      <c r="AI9" s="14">
        <v>-14</v>
      </c>
      <c r="AJ9" s="14">
        <v>-22</v>
      </c>
      <c r="AK9" s="15">
        <f>SUM(AG9:AJ9)</f>
        <v>-63</v>
      </c>
      <c r="AM9" s="14">
        <v>-17</v>
      </c>
      <c r="AN9" s="14">
        <v>-17</v>
      </c>
      <c r="AO9" s="14">
        <v>-16</v>
      </c>
      <c r="AP9" s="14">
        <v>-15</v>
      </c>
      <c r="AQ9" s="15">
        <f>SUM(AM9:AP9)</f>
        <v>-65</v>
      </c>
      <c r="AS9" s="14">
        <v>-22</v>
      </c>
      <c r="AT9" s="14">
        <v>-24</v>
      </c>
      <c r="AU9" s="14">
        <v>-29</v>
      </c>
      <c r="AV9" s="14">
        <v>-33</v>
      </c>
      <c r="AW9" s="15">
        <f>SUM(AS9:AV9)</f>
        <v>-108</v>
      </c>
      <c r="AY9" s="14">
        <v>-25</v>
      </c>
      <c r="AZ9" s="14">
        <v>-29</v>
      </c>
      <c r="BA9" s="14">
        <v>-29</v>
      </c>
      <c r="BB9" s="14">
        <v>-42</v>
      </c>
      <c r="BC9" s="15">
        <f>SUM(AY9:BB9)</f>
        <v>-125</v>
      </c>
      <c r="BE9" s="14">
        <v>-32</v>
      </c>
      <c r="BF9" s="14">
        <v>-31</v>
      </c>
      <c r="BG9" s="14">
        <v>-31</v>
      </c>
      <c r="BH9" s="14">
        <v>-30</v>
      </c>
      <c r="BI9" s="15">
        <f>SUM(BE9:BH9)</f>
        <v>-124</v>
      </c>
      <c r="BK9" s="14">
        <v>-31</v>
      </c>
      <c r="BL9" s="14">
        <v>-31</v>
      </c>
      <c r="BM9" s="14">
        <v>-32</v>
      </c>
      <c r="BN9" s="14">
        <v>-46</v>
      </c>
      <c r="BO9" s="15">
        <f>SUM(BK9:BN9)</f>
        <v>-140</v>
      </c>
      <c r="BQ9" s="14">
        <v>-38</v>
      </c>
      <c r="BR9" s="14">
        <v>-34</v>
      </c>
      <c r="BS9" s="14">
        <v>-40</v>
      </c>
      <c r="BT9" s="58">
        <v>-42</v>
      </c>
      <c r="BU9" s="15">
        <f>SUM(BQ9:BT9)</f>
        <v>-154</v>
      </c>
      <c r="BW9" s="14">
        <v>-39</v>
      </c>
      <c r="BX9" s="14">
        <v>-42</v>
      </c>
      <c r="BY9" s="14"/>
      <c r="BZ9" s="58"/>
      <c r="CA9" s="15">
        <f>SUM(BW9:BZ9)</f>
        <v>-81</v>
      </c>
    </row>
    <row r="10" spans="1:79">
      <c r="A10" s="4" t="s">
        <v>134</v>
      </c>
      <c r="C10" s="20">
        <v>0</v>
      </c>
      <c r="D10" s="20">
        <v>0</v>
      </c>
      <c r="E10" s="20">
        <v>0</v>
      </c>
      <c r="F10" s="20">
        <v>0</v>
      </c>
      <c r="G10" s="21">
        <f>SUM(C10:F10)</f>
        <v>0</v>
      </c>
      <c r="H10" s="16"/>
      <c r="I10" s="20">
        <v>0</v>
      </c>
      <c r="J10" s="20">
        <v>0</v>
      </c>
      <c r="K10" s="20">
        <v>0</v>
      </c>
      <c r="L10" s="20">
        <f>-643-6</f>
        <v>-649</v>
      </c>
      <c r="M10" s="21">
        <f>SUM(I10:L10)</f>
        <v>-649</v>
      </c>
      <c r="O10" s="20">
        <v>0</v>
      </c>
      <c r="P10" s="20">
        <v>0</v>
      </c>
      <c r="Q10" s="20">
        <v>0</v>
      </c>
      <c r="R10" s="20">
        <v>-25</v>
      </c>
      <c r="S10" s="21">
        <f>SUM(O10:R10)</f>
        <v>-25</v>
      </c>
      <c r="U10" s="20">
        <v>0</v>
      </c>
      <c r="V10" s="20">
        <v>0</v>
      </c>
      <c r="W10" s="20">
        <v>-65</v>
      </c>
      <c r="X10" s="20">
        <v>8</v>
      </c>
      <c r="Y10" s="21">
        <f>SUM(U10:X10)</f>
        <v>-57</v>
      </c>
      <c r="AA10" s="20">
        <v>0</v>
      </c>
      <c r="AB10" s="20">
        <v>0</v>
      </c>
      <c r="AC10" s="20">
        <v>-65</v>
      </c>
      <c r="AD10" s="20">
        <v>23</v>
      </c>
      <c r="AE10" s="21">
        <f>SUM(AA10:AD10)</f>
        <v>-42</v>
      </c>
      <c r="AG10" s="20">
        <v>0</v>
      </c>
      <c r="AH10" s="20"/>
      <c r="AI10" s="20"/>
      <c r="AJ10" s="20"/>
      <c r="AK10" s="21">
        <f>SUM(AG10:AJ10)</f>
        <v>0</v>
      </c>
      <c r="AM10" s="20"/>
      <c r="AN10" s="20"/>
      <c r="AO10" s="20"/>
      <c r="AP10" s="20"/>
      <c r="AQ10" s="21">
        <f>SUM(AM10:AP10)</f>
        <v>0</v>
      </c>
      <c r="AS10" s="20"/>
      <c r="AT10" s="20"/>
      <c r="AU10" s="20"/>
      <c r="AV10" s="20"/>
      <c r="AW10" s="21">
        <f>SUM(AS10:AV10)</f>
        <v>0</v>
      </c>
      <c r="AY10" s="20"/>
      <c r="AZ10" s="20"/>
      <c r="BA10" s="20"/>
      <c r="BB10" s="20">
        <v>-53</v>
      </c>
      <c r="BC10" s="21">
        <f>SUM(AY10:BB10)</f>
        <v>-53</v>
      </c>
      <c r="BE10" s="20">
        <v>0</v>
      </c>
      <c r="BF10" s="20">
        <v>0</v>
      </c>
      <c r="BG10" s="20">
        <v>0</v>
      </c>
      <c r="BH10" s="20">
        <v>0</v>
      </c>
      <c r="BI10" s="21">
        <f>SUM(BE10:BH10)</f>
        <v>0</v>
      </c>
      <c r="BK10" s="20">
        <v>0</v>
      </c>
      <c r="BL10" s="20">
        <v>0</v>
      </c>
      <c r="BM10" s="20">
        <v>0</v>
      </c>
      <c r="BN10" s="20">
        <v>0</v>
      </c>
      <c r="BO10" s="21">
        <f>SUM(BK10:BN10)</f>
        <v>0</v>
      </c>
      <c r="BQ10" s="20">
        <v>0</v>
      </c>
      <c r="BR10" s="20">
        <v>0</v>
      </c>
      <c r="BS10" s="20">
        <v>0</v>
      </c>
      <c r="BT10" s="74">
        <v>-68</v>
      </c>
      <c r="BU10" s="21">
        <f>SUM(BQ10:BT10)</f>
        <v>-68</v>
      </c>
      <c r="BW10" s="20">
        <v>0</v>
      </c>
      <c r="BX10" s="20">
        <v>0</v>
      </c>
      <c r="BY10" s="20"/>
      <c r="BZ10" s="74"/>
      <c r="CA10" s="21">
        <f>SUM(BW10:BZ10)</f>
        <v>0</v>
      </c>
    </row>
    <row r="11" spans="1:79" s="12" customFormat="1" ht="18.75" customHeight="1">
      <c r="A11" s="12" t="s">
        <v>3</v>
      </c>
      <c r="B11" s="6"/>
      <c r="C11" s="19">
        <f>SUM(C7:C10)</f>
        <v>-38</v>
      </c>
      <c r="D11" s="19">
        <f>SUM(D7:D10)</f>
        <v>93</v>
      </c>
      <c r="E11" s="19">
        <f>SUM(E7:E10)</f>
        <v>-31</v>
      </c>
      <c r="F11" s="19">
        <f>SUM(F7:F10)</f>
        <v>-34</v>
      </c>
      <c r="G11" s="15">
        <f>SUM(G7:G10)</f>
        <v>-10</v>
      </c>
      <c r="H11" s="16"/>
      <c r="I11" s="19">
        <f>SUM(I7:I10)</f>
        <v>-16</v>
      </c>
      <c r="J11" s="19">
        <f>SUM(J7:J10)</f>
        <v>3</v>
      </c>
      <c r="K11" s="19">
        <f>SUM(K7:K10)</f>
        <v>15</v>
      </c>
      <c r="L11" s="19">
        <f>SUM(L7:L10)</f>
        <v>-807</v>
      </c>
      <c r="M11" s="15">
        <f>SUM(M7:M10)</f>
        <v>-805</v>
      </c>
      <c r="O11" s="19">
        <f>SUM(O7:O10)</f>
        <v>14</v>
      </c>
      <c r="P11" s="19">
        <f>SUM(P7:P10)</f>
        <v>50</v>
      </c>
      <c r="Q11" s="19">
        <f>SUM(Q7:Q10)</f>
        <v>56</v>
      </c>
      <c r="R11" s="19">
        <f>SUM(R7:R10)</f>
        <v>29</v>
      </c>
      <c r="S11" s="15">
        <f>SUM(S7:S10)</f>
        <v>149</v>
      </c>
      <c r="U11" s="19">
        <f>SUM(U7:U10)</f>
        <v>19</v>
      </c>
      <c r="V11" s="19">
        <f>SUM(V7:V10)</f>
        <v>88</v>
      </c>
      <c r="W11" s="19">
        <f>SUM(W7:W10)</f>
        <v>147</v>
      </c>
      <c r="X11" s="19">
        <f>SUM(X7:X10)</f>
        <v>70</v>
      </c>
      <c r="Y11" s="15">
        <f>SUM(Y7:Y10)</f>
        <v>324</v>
      </c>
      <c r="AA11" s="19">
        <f>SUM(AA7:AA10)</f>
        <v>23</v>
      </c>
      <c r="AB11" s="19">
        <f>SUM(AB7:AB10)</f>
        <v>-91</v>
      </c>
      <c r="AC11" s="19">
        <f>SUM(AC7:AC10)</f>
        <v>146</v>
      </c>
      <c r="AD11" s="19">
        <f>SUM(AD7:AD10)</f>
        <v>104</v>
      </c>
      <c r="AE11" s="15">
        <f>SUM(AE7:AE10)</f>
        <v>182</v>
      </c>
      <c r="AG11" s="19">
        <f>SUM(AG7:AG10)</f>
        <v>74</v>
      </c>
      <c r="AH11" s="19">
        <f>SUM(AH7:AH10)</f>
        <v>125</v>
      </c>
      <c r="AI11" s="19">
        <f>SUM(AI7:AI10)</f>
        <v>139</v>
      </c>
      <c r="AJ11" s="19">
        <f>SUM(AJ7:AJ10)</f>
        <v>153</v>
      </c>
      <c r="AK11" s="15">
        <f>SUM(AK7:AK10)</f>
        <v>491</v>
      </c>
      <c r="AM11" s="19">
        <f>SUM(AM7:AM10)</f>
        <v>124</v>
      </c>
      <c r="AN11" s="19">
        <f>SUM(AN7:AN10)</f>
        <v>324</v>
      </c>
      <c r="AO11" s="19">
        <f>SUM(AO7:AO10)</f>
        <v>202</v>
      </c>
      <c r="AP11" s="19">
        <f>SUM(AP7:AP10)</f>
        <v>168</v>
      </c>
      <c r="AQ11" s="15">
        <f>SUM(AQ7:AQ10)</f>
        <v>818</v>
      </c>
      <c r="AS11" s="19">
        <f>SUM(AS7:AS10)</f>
        <v>191</v>
      </c>
      <c r="AT11" s="19">
        <f>SUM(AT7:AT10)</f>
        <v>331</v>
      </c>
      <c r="AU11" s="19">
        <f>SUM(AU7:AU10)</f>
        <v>248</v>
      </c>
      <c r="AV11" s="19">
        <f>SUM(AV7:AV10)</f>
        <v>363</v>
      </c>
      <c r="AW11" s="15">
        <f>SUM(AW7:AW10)</f>
        <v>1133</v>
      </c>
      <c r="AY11" s="94">
        <f>SUM(AY7:AY10)</f>
        <v>226</v>
      </c>
      <c r="AZ11" s="94">
        <f>SUM(AZ7:AZ10)</f>
        <v>377</v>
      </c>
      <c r="BA11" s="94">
        <f>SUM(BA7:BA10)</f>
        <v>241</v>
      </c>
      <c r="BB11" s="94">
        <f>SUM(BB7:BB10)</f>
        <v>-26</v>
      </c>
      <c r="BC11" s="95">
        <f>SUM(BC7:BC10)</f>
        <v>818</v>
      </c>
      <c r="BE11" s="94">
        <f>SUM(BE7:BE10)</f>
        <v>36</v>
      </c>
      <c r="BF11" s="94">
        <f>SUM(BF7:BF10)</f>
        <v>146</v>
      </c>
      <c r="BG11" s="94">
        <f>SUM(BG7:BG10)</f>
        <v>131</v>
      </c>
      <c r="BH11" s="94">
        <f>SUM(BH7:BH10)</f>
        <v>103</v>
      </c>
      <c r="BI11" s="95">
        <f>SUM(BI7:BI10)</f>
        <v>416</v>
      </c>
      <c r="BK11" s="94">
        <f>SUM(BK7:BK10)</f>
        <v>120</v>
      </c>
      <c r="BL11" s="94">
        <f>SUM(BL7:BL10)</f>
        <v>160</v>
      </c>
      <c r="BM11" s="94">
        <f>SUM(BM7:BM10)</f>
        <v>148</v>
      </c>
      <c r="BN11" s="94">
        <f>SUM(BN7:BN10)</f>
        <v>52</v>
      </c>
      <c r="BO11" s="95">
        <f>SUM(BO7:BO10)</f>
        <v>480</v>
      </c>
      <c r="BQ11" s="94">
        <f>SUM(BQ7:BQ10)</f>
        <v>97</v>
      </c>
      <c r="BR11" s="94">
        <f>SUM(BR7:BR10)</f>
        <v>96</v>
      </c>
      <c r="BS11" s="94">
        <f>SUM(BS7:BS10)</f>
        <v>185</v>
      </c>
      <c r="BT11" s="94">
        <f>SUM(BT7:BT10)</f>
        <v>67</v>
      </c>
      <c r="BU11" s="95">
        <f>SUM(BU7:BU10)</f>
        <v>445</v>
      </c>
      <c r="BW11" s="94">
        <f>SUM(BW7:BW10)</f>
        <v>103</v>
      </c>
      <c r="BX11" s="94">
        <f>SUM(BX7:BX10)</f>
        <v>99</v>
      </c>
      <c r="BY11" s="94">
        <f>SUM(BY7:BY10)</f>
        <v>0</v>
      </c>
      <c r="BZ11" s="94">
        <f>SUM(BZ7:BZ10)</f>
        <v>0</v>
      </c>
      <c r="CA11" s="95">
        <f>SUM(CA7:CA10)</f>
        <v>202</v>
      </c>
    </row>
    <row r="12" spans="1:79" hidden="1">
      <c r="A12" s="4" t="s">
        <v>78</v>
      </c>
      <c r="C12" s="14">
        <f>-18</f>
        <v>-18</v>
      </c>
      <c r="D12" s="14">
        <f>-21+2</f>
        <v>-19</v>
      </c>
      <c r="E12" s="14">
        <f>-20+3</f>
        <v>-17</v>
      </c>
      <c r="F12" s="14">
        <f>-23+4</f>
        <v>-19</v>
      </c>
      <c r="G12" s="15">
        <f>SUM(C12:F12)</f>
        <v>-73</v>
      </c>
      <c r="H12" s="16"/>
      <c r="I12" s="14">
        <f>-21+3</f>
        <v>-18</v>
      </c>
      <c r="J12" s="14">
        <f>-21+2</f>
        <v>-19</v>
      </c>
      <c r="K12" s="14">
        <f>-22+3</f>
        <v>-19</v>
      </c>
      <c r="L12" s="14">
        <f>-22+1</f>
        <v>-21</v>
      </c>
      <c r="M12" s="15">
        <f>SUM(I12:L12)</f>
        <v>-77</v>
      </c>
      <c r="O12" s="14">
        <f>-17+2</f>
        <v>-15</v>
      </c>
      <c r="P12" s="14">
        <f>-16+2</f>
        <v>-14</v>
      </c>
      <c r="Q12" s="14">
        <f>-18+5</f>
        <v>-13</v>
      </c>
      <c r="R12" s="14">
        <f>-20+5</f>
        <v>-15</v>
      </c>
      <c r="S12" s="15">
        <f>SUM(O12:R12)</f>
        <v>-57</v>
      </c>
      <c r="U12" s="14">
        <v>-15</v>
      </c>
      <c r="V12" s="14">
        <v>-21</v>
      </c>
      <c r="W12" s="14">
        <v>-22</v>
      </c>
      <c r="X12" s="14">
        <v>-19</v>
      </c>
      <c r="Y12" s="15">
        <f>SUM(U12:X12)</f>
        <v>-77</v>
      </c>
      <c r="AA12" s="14"/>
      <c r="AB12" s="14"/>
      <c r="AC12" s="14"/>
      <c r="AD12" s="14"/>
      <c r="AE12" s="15">
        <f>SUM(AA12:AD12)</f>
        <v>0</v>
      </c>
      <c r="AG12" s="14"/>
      <c r="AH12" s="14"/>
      <c r="AI12" s="14"/>
      <c r="AJ12" s="14"/>
      <c r="AK12" s="15">
        <f>SUM(AG12:AJ12)</f>
        <v>0</v>
      </c>
      <c r="AM12" s="14"/>
      <c r="AN12" s="14"/>
      <c r="AO12" s="14"/>
      <c r="AP12" s="14"/>
      <c r="AQ12" s="15">
        <f>SUM(AM12:AP12)</f>
        <v>0</v>
      </c>
      <c r="AS12" s="14"/>
      <c r="AT12" s="14"/>
      <c r="AU12" s="14"/>
      <c r="AV12" s="14"/>
      <c r="AW12" s="15">
        <f>SUM(AS12:AV12)</f>
        <v>0</v>
      </c>
      <c r="AY12" s="14"/>
      <c r="AZ12" s="14"/>
      <c r="BA12" s="14"/>
      <c r="BB12" s="14"/>
      <c r="BC12" s="15">
        <f>SUM(AY12:BB12)</f>
        <v>0</v>
      </c>
      <c r="BE12" s="14"/>
      <c r="BF12" s="14"/>
      <c r="BG12" s="14"/>
      <c r="BH12" s="14"/>
      <c r="BI12" s="15">
        <f>SUM(BE12:BH12)</f>
        <v>0</v>
      </c>
      <c r="BK12" s="14"/>
      <c r="BL12" s="14"/>
      <c r="BM12" s="14"/>
      <c r="BN12" s="14"/>
      <c r="BO12" s="15">
        <f>SUM(BK12:BN12)</f>
        <v>0</v>
      </c>
      <c r="BQ12" s="14"/>
      <c r="BR12" s="14"/>
      <c r="BS12" s="14"/>
      <c r="BT12" s="14"/>
      <c r="BU12" s="15">
        <f>SUM(BQ12:BT12)</f>
        <v>0</v>
      </c>
      <c r="BW12" s="14"/>
      <c r="BX12" s="14"/>
      <c r="BY12" s="14"/>
      <c r="BZ12" s="14"/>
      <c r="CA12" s="15">
        <f>SUM(BW12:BZ12)</f>
        <v>0</v>
      </c>
    </row>
    <row r="13" spans="1:79">
      <c r="A13" s="4" t="s">
        <v>135</v>
      </c>
      <c r="C13" s="20">
        <v>0</v>
      </c>
      <c r="D13" s="20">
        <v>0</v>
      </c>
      <c r="E13" s="20">
        <v>0</v>
      </c>
      <c r="F13" s="20">
        <v>0</v>
      </c>
      <c r="G13" s="21">
        <f>SUM(C13:F13)</f>
        <v>0</v>
      </c>
      <c r="H13" s="16"/>
      <c r="I13" s="20">
        <v>0</v>
      </c>
      <c r="J13" s="20">
        <v>0</v>
      </c>
      <c r="K13" s="20">
        <v>0</v>
      </c>
      <c r="L13" s="20">
        <f>-47+6</f>
        <v>-41</v>
      </c>
      <c r="M13" s="21">
        <f>SUM(I13:L13)</f>
        <v>-41</v>
      </c>
      <c r="O13" s="20">
        <v>0</v>
      </c>
      <c r="P13" s="20"/>
      <c r="Q13" s="20">
        <v>0</v>
      </c>
      <c r="R13" s="20">
        <v>0</v>
      </c>
      <c r="S13" s="21">
        <f>SUM(O13:R13)</f>
        <v>0</v>
      </c>
      <c r="U13" s="20">
        <v>0</v>
      </c>
      <c r="V13" s="20">
        <v>0</v>
      </c>
      <c r="W13" s="20">
        <v>0</v>
      </c>
      <c r="X13" s="20">
        <v>0</v>
      </c>
      <c r="Y13" s="21">
        <f>SUM(U13:X13)</f>
        <v>0</v>
      </c>
      <c r="AA13" s="20"/>
      <c r="AB13" s="20"/>
      <c r="AC13" s="20"/>
      <c r="AD13" s="20"/>
      <c r="AE13" s="21">
        <f>SUM(AA13:AD13)</f>
        <v>0</v>
      </c>
      <c r="AG13" s="20"/>
      <c r="AH13" s="20"/>
      <c r="AI13" s="20"/>
      <c r="AJ13" s="20">
        <v>-6</v>
      </c>
      <c r="AK13" s="21">
        <f>SUM(AG13:AJ13)</f>
        <v>-6</v>
      </c>
      <c r="AM13" s="20"/>
      <c r="AN13" s="20"/>
      <c r="AO13" s="20"/>
      <c r="AP13" s="20"/>
      <c r="AQ13" s="21">
        <f>SUM(AM13:AP13)</f>
        <v>0</v>
      </c>
      <c r="AS13" s="20"/>
      <c r="AT13" s="20"/>
      <c r="AU13" s="20"/>
      <c r="AV13" s="20"/>
      <c r="AW13" s="21">
        <f>SUM(AS13:AV13)</f>
        <v>0</v>
      </c>
      <c r="AY13" s="20"/>
      <c r="AZ13" s="20"/>
      <c r="BA13" s="20"/>
      <c r="BB13" s="20"/>
      <c r="BC13" s="21">
        <f>SUM(AY13:BB13)</f>
        <v>0</v>
      </c>
      <c r="BE13" s="20"/>
      <c r="BF13" s="20"/>
      <c r="BG13" s="20"/>
      <c r="BH13" s="20"/>
      <c r="BI13" s="21">
        <f>SUM(BE13:BH13)</f>
        <v>0</v>
      </c>
      <c r="BK13" s="20">
        <v>0</v>
      </c>
      <c r="BL13" s="20">
        <v>0</v>
      </c>
      <c r="BM13" s="20">
        <v>0</v>
      </c>
      <c r="BN13" s="20">
        <v>0</v>
      </c>
      <c r="BO13" s="21">
        <f>SUM(BK13:BN13)</f>
        <v>0</v>
      </c>
      <c r="BQ13" s="20">
        <v>0</v>
      </c>
      <c r="BR13" s="20">
        <v>0</v>
      </c>
      <c r="BS13" s="20">
        <v>0</v>
      </c>
      <c r="BT13" s="20">
        <v>0</v>
      </c>
      <c r="BU13" s="21">
        <f>SUM(BQ13:BT13)</f>
        <v>0</v>
      </c>
      <c r="BW13" s="20">
        <v>0</v>
      </c>
      <c r="BX13" s="20">
        <v>0</v>
      </c>
      <c r="BY13" s="20"/>
      <c r="BZ13" s="20"/>
      <c r="CA13" s="21">
        <f>SUM(BW13:BZ13)</f>
        <v>0</v>
      </c>
    </row>
    <row r="14" spans="1:79" s="12" customFormat="1" ht="18.75" customHeight="1">
      <c r="A14" s="12" t="s">
        <v>2</v>
      </c>
      <c r="B14" s="6"/>
      <c r="C14" s="19">
        <f>SUM(C11:C13)</f>
        <v>-56</v>
      </c>
      <c r="D14" s="19">
        <f>SUM(D11:D13)</f>
        <v>74</v>
      </c>
      <c r="E14" s="19">
        <f>SUM(E11:E13)</f>
        <v>-48</v>
      </c>
      <c r="F14" s="19">
        <f>SUM(F11:F13)</f>
        <v>-53</v>
      </c>
      <c r="G14" s="15">
        <f>SUM(G11:G13)</f>
        <v>-83</v>
      </c>
      <c r="H14" s="16"/>
      <c r="I14" s="19">
        <f>SUM(I11:I13)</f>
        <v>-34</v>
      </c>
      <c r="J14" s="19">
        <f>SUM(J11:J13)</f>
        <v>-16</v>
      </c>
      <c r="K14" s="19">
        <f>SUM(K11:K13)</f>
        <v>-4</v>
      </c>
      <c r="L14" s="19">
        <f>SUM(L11:L13)</f>
        <v>-869</v>
      </c>
      <c r="M14" s="15">
        <f>SUM(M11:M13)</f>
        <v>-923</v>
      </c>
      <c r="O14" s="19">
        <f>SUM(O11:O13)</f>
        <v>-1</v>
      </c>
      <c r="P14" s="19">
        <f>SUM(P11:P13)</f>
        <v>36</v>
      </c>
      <c r="Q14" s="19">
        <f>SUM(Q11:Q13)</f>
        <v>43</v>
      </c>
      <c r="R14" s="19">
        <f>SUM(R11:R13)</f>
        <v>14</v>
      </c>
      <c r="S14" s="15">
        <f>SUM(S11:S13)</f>
        <v>92</v>
      </c>
      <c r="U14" s="19">
        <f>SUM(U11:U13)</f>
        <v>4</v>
      </c>
      <c r="V14" s="19">
        <f>SUM(V11:V13)</f>
        <v>67</v>
      </c>
      <c r="W14" s="19">
        <f>SUM(W11:W13)</f>
        <v>125</v>
      </c>
      <c r="X14" s="19">
        <f>SUM(X11:X13)</f>
        <v>51</v>
      </c>
      <c r="Y14" s="15">
        <f>SUM(Y11:Y13)</f>
        <v>247</v>
      </c>
      <c r="AA14" s="19">
        <f>SUM(AA11:AA13)</f>
        <v>23</v>
      </c>
      <c r="AB14" s="19">
        <f>SUM(AB11:AB13)</f>
        <v>-91</v>
      </c>
      <c r="AC14" s="19">
        <f>SUM(AC11:AC13)</f>
        <v>146</v>
      </c>
      <c r="AD14" s="19">
        <f>SUM(AD11:AD13)</f>
        <v>104</v>
      </c>
      <c r="AE14" s="15">
        <f>SUM(AE11:AE13)</f>
        <v>182</v>
      </c>
      <c r="AG14" s="19">
        <f>SUM(AG11:AG13)</f>
        <v>74</v>
      </c>
      <c r="AH14" s="19">
        <f>SUM(AH11:AH13)</f>
        <v>125</v>
      </c>
      <c r="AI14" s="19">
        <f>SUM(AI11:AI13)</f>
        <v>139</v>
      </c>
      <c r="AJ14" s="19">
        <f>SUM(AJ11:AJ13)</f>
        <v>147</v>
      </c>
      <c r="AK14" s="15">
        <f>SUM(AK11:AK13)</f>
        <v>485</v>
      </c>
      <c r="AM14" s="19">
        <f>SUM(AM11:AM13)</f>
        <v>124</v>
      </c>
      <c r="AN14" s="19">
        <f>SUM(AN11:AN13)</f>
        <v>324</v>
      </c>
      <c r="AO14" s="19">
        <f>SUM(AO11:AO13)</f>
        <v>202</v>
      </c>
      <c r="AP14" s="19">
        <f>SUM(AP11:AP13)</f>
        <v>168</v>
      </c>
      <c r="AQ14" s="15">
        <f>SUM(AQ11:AQ13)</f>
        <v>818</v>
      </c>
      <c r="AS14" s="19">
        <f>SUM(AS11:AS13)</f>
        <v>191</v>
      </c>
      <c r="AT14" s="19">
        <f>SUM(AT11:AT13)</f>
        <v>331</v>
      </c>
      <c r="AU14" s="19">
        <f>SUM(AU11:AU13)</f>
        <v>248</v>
      </c>
      <c r="AV14" s="19">
        <f>SUM(AV11:AV13)</f>
        <v>363</v>
      </c>
      <c r="AW14" s="15">
        <f>SUM(AW11:AW13)</f>
        <v>1133</v>
      </c>
      <c r="AY14" s="19">
        <f>SUM(AY11:AY13)</f>
        <v>226</v>
      </c>
      <c r="AZ14" s="19">
        <f>SUM(AZ11:AZ13)</f>
        <v>377</v>
      </c>
      <c r="BA14" s="19">
        <f>SUM(BA11:BA13)</f>
        <v>241</v>
      </c>
      <c r="BB14" s="19">
        <f>SUM(BB11:BB13)</f>
        <v>-26</v>
      </c>
      <c r="BC14" s="15">
        <f>SUM(BC11:BC13)</f>
        <v>818</v>
      </c>
      <c r="BE14" s="19">
        <f>SUM(BE11:BE13)</f>
        <v>36</v>
      </c>
      <c r="BF14" s="19">
        <f>SUM(BF11:BF13)</f>
        <v>146</v>
      </c>
      <c r="BG14" s="19">
        <f>SUM(BG11:BG13)</f>
        <v>131</v>
      </c>
      <c r="BH14" s="19">
        <f>SUM(BH11:BH13)</f>
        <v>103</v>
      </c>
      <c r="BI14" s="15">
        <f>SUM(BI11:BI13)</f>
        <v>416</v>
      </c>
      <c r="BK14" s="19">
        <f>SUM(BK11:BK13)</f>
        <v>120</v>
      </c>
      <c r="BL14" s="19">
        <f>SUM(BL11:BL13)</f>
        <v>160</v>
      </c>
      <c r="BM14" s="19">
        <f>SUM(BM11:BM13)</f>
        <v>148</v>
      </c>
      <c r="BN14" s="19">
        <f>SUM(BN11:BN13)</f>
        <v>52</v>
      </c>
      <c r="BO14" s="15">
        <f>SUM(BO11:BO13)</f>
        <v>480</v>
      </c>
      <c r="BQ14" s="19">
        <f>SUM(BQ11:BQ13)</f>
        <v>97</v>
      </c>
      <c r="BR14" s="19">
        <f>SUM(BR11:BR13)</f>
        <v>96</v>
      </c>
      <c r="BS14" s="19">
        <f>SUM(BS11:BS13)</f>
        <v>185</v>
      </c>
      <c r="BT14" s="19">
        <f>SUM(BT11:BT13)</f>
        <v>67</v>
      </c>
      <c r="BU14" s="15">
        <f>SUM(BU11:BU13)</f>
        <v>445</v>
      </c>
      <c r="BW14" s="19">
        <f>SUM(BW11:BW13)</f>
        <v>103</v>
      </c>
      <c r="BX14" s="19">
        <f>SUM(BX11:BX13)</f>
        <v>99</v>
      </c>
      <c r="BY14" s="19">
        <f>SUM(BY11:BY13)</f>
        <v>0</v>
      </c>
      <c r="BZ14" s="19">
        <f>SUM(BZ11:BZ13)</f>
        <v>0</v>
      </c>
      <c r="CA14" s="15">
        <f>SUM(CA11:CA13)</f>
        <v>202</v>
      </c>
    </row>
    <row r="15" spans="1:79">
      <c r="A15" s="4" t="s">
        <v>4</v>
      </c>
      <c r="C15" s="20">
        <v>51</v>
      </c>
      <c r="D15" s="20">
        <v>8</v>
      </c>
      <c r="E15" s="20">
        <v>-7</v>
      </c>
      <c r="F15" s="20">
        <v>-14</v>
      </c>
      <c r="G15" s="21">
        <f>SUM(C15:F15)</f>
        <v>38</v>
      </c>
      <c r="H15" s="16"/>
      <c r="I15" s="20">
        <v>-3</v>
      </c>
      <c r="J15" s="20">
        <v>-10</v>
      </c>
      <c r="K15" s="20">
        <v>-2</v>
      </c>
      <c r="L15" s="20">
        <v>-2</v>
      </c>
      <c r="M15" s="21">
        <f>SUM(I15:L15)</f>
        <v>-17</v>
      </c>
      <c r="O15" s="20">
        <v>-1</v>
      </c>
      <c r="P15" s="20">
        <v>-5</v>
      </c>
      <c r="Q15" s="20">
        <v>-2</v>
      </c>
      <c r="R15" s="20">
        <v>24</v>
      </c>
      <c r="S15" s="21">
        <f>SUM(O15:R15)</f>
        <v>16</v>
      </c>
      <c r="U15" s="20">
        <v>-1</v>
      </c>
      <c r="V15" s="20">
        <v>-13</v>
      </c>
      <c r="W15" s="20">
        <v>-16</v>
      </c>
      <c r="X15" s="20">
        <v>20</v>
      </c>
      <c r="Y15" s="21">
        <f>SUM(U15:X15)</f>
        <v>-10</v>
      </c>
      <c r="AA15" s="20">
        <v>0</v>
      </c>
      <c r="AB15" s="20">
        <v>-11</v>
      </c>
      <c r="AC15" s="20">
        <v>-13</v>
      </c>
      <c r="AD15" s="20">
        <v>0</v>
      </c>
      <c r="AE15" s="21">
        <f>SUM(AA15:AD15)</f>
        <v>-24</v>
      </c>
      <c r="AG15" s="20">
        <v>-15</v>
      </c>
      <c r="AH15" s="20">
        <v>1</v>
      </c>
      <c r="AI15" s="20">
        <v>-1</v>
      </c>
      <c r="AJ15" s="20">
        <v>-7</v>
      </c>
      <c r="AK15" s="21">
        <f>SUM(AG15:AJ15)</f>
        <v>-22</v>
      </c>
      <c r="AM15" s="20">
        <v>-14</v>
      </c>
      <c r="AN15" s="20">
        <v>-12</v>
      </c>
      <c r="AO15" s="20">
        <v>-9</v>
      </c>
      <c r="AP15" s="20">
        <v>-14</v>
      </c>
      <c r="AQ15" s="21">
        <f>SUM(AM15:AP15)</f>
        <v>-49</v>
      </c>
      <c r="AS15" s="20">
        <v>-31</v>
      </c>
      <c r="AT15" s="20">
        <v>-23</v>
      </c>
      <c r="AU15" s="20">
        <v>-33</v>
      </c>
      <c r="AV15" s="20">
        <v>-58</v>
      </c>
      <c r="AW15" s="21">
        <f>SUM(AS15:AV15)</f>
        <v>-145</v>
      </c>
      <c r="AY15" s="20">
        <v>-42</v>
      </c>
      <c r="AZ15" s="20">
        <v>-68</v>
      </c>
      <c r="BA15" s="20">
        <v>-54</v>
      </c>
      <c r="BB15" s="20">
        <v>-62</v>
      </c>
      <c r="BC15" s="21">
        <f>SUM(AY15:BB15)</f>
        <v>-226</v>
      </c>
      <c r="BE15" s="20">
        <v>-35</v>
      </c>
      <c r="BF15" s="20">
        <v>-26</v>
      </c>
      <c r="BG15" s="20">
        <v>-24</v>
      </c>
      <c r="BH15" s="20">
        <v>-40</v>
      </c>
      <c r="BI15" s="21">
        <f>SUM(BE15:BH15)</f>
        <v>-125</v>
      </c>
      <c r="BK15" s="20">
        <v>-27</v>
      </c>
      <c r="BL15" s="20">
        <v>-22</v>
      </c>
      <c r="BM15" s="20">
        <v>-43</v>
      </c>
      <c r="BN15" s="20">
        <v>-43</v>
      </c>
      <c r="BO15" s="21">
        <f>SUM(BK15:BN15)</f>
        <v>-135</v>
      </c>
      <c r="BQ15" s="20">
        <v>-43</v>
      </c>
      <c r="BR15" s="20">
        <v>-61</v>
      </c>
      <c r="BS15" s="20">
        <v>-106</v>
      </c>
      <c r="BT15" s="20">
        <v>-70</v>
      </c>
      <c r="BU15" s="21">
        <f>SUM(BQ15:BT15)</f>
        <v>-280</v>
      </c>
      <c r="BW15" s="20">
        <v>-59</v>
      </c>
      <c r="BX15" s="20">
        <v>-52</v>
      </c>
      <c r="BY15" s="20"/>
      <c r="BZ15" s="20"/>
      <c r="CA15" s="21">
        <f>SUM(BW15:BZ15)</f>
        <v>-111</v>
      </c>
    </row>
    <row r="16" spans="1:79" s="12" customFormat="1" ht="18.75" customHeight="1">
      <c r="A16" s="12" t="s">
        <v>5</v>
      </c>
      <c r="B16" s="6"/>
      <c r="C16" s="19">
        <f>SUM(C14:C15)</f>
        <v>-5</v>
      </c>
      <c r="D16" s="19">
        <f>SUM(D14:D15)</f>
        <v>82</v>
      </c>
      <c r="E16" s="19">
        <f>SUM(E14:E15)</f>
        <v>-55</v>
      </c>
      <c r="F16" s="19">
        <f>SUM(F14:F15)</f>
        <v>-67</v>
      </c>
      <c r="G16" s="15">
        <f>SUM(G14:G15)</f>
        <v>-45</v>
      </c>
      <c r="H16" s="16"/>
      <c r="I16" s="19">
        <f>SUM(I14:I15)</f>
        <v>-37</v>
      </c>
      <c r="J16" s="19">
        <f>SUM(J14:J15)</f>
        <v>-26</v>
      </c>
      <c r="K16" s="19">
        <f>SUM(K14:K15)</f>
        <v>-6</v>
      </c>
      <c r="L16" s="19">
        <f>SUM(L14:L15)</f>
        <v>-871</v>
      </c>
      <c r="M16" s="15">
        <f>SUM(M14:M15)</f>
        <v>-940</v>
      </c>
      <c r="O16" s="19">
        <f>SUM(O14:O15)</f>
        <v>-2</v>
      </c>
      <c r="P16" s="19">
        <f>SUM(P14:P15)</f>
        <v>31</v>
      </c>
      <c r="Q16" s="19">
        <f>SUM(Q14:Q15)</f>
        <v>41</v>
      </c>
      <c r="R16" s="19">
        <f>SUM(R14:R15)</f>
        <v>38</v>
      </c>
      <c r="S16" s="15">
        <f>SUM(S14:S15)</f>
        <v>108</v>
      </c>
      <c r="U16" s="19">
        <f>SUM(U14:U15)</f>
        <v>3</v>
      </c>
      <c r="V16" s="19">
        <f>SUM(V14:V15)</f>
        <v>54</v>
      </c>
      <c r="W16" s="19">
        <f>SUM(W14:W15)</f>
        <v>109</v>
      </c>
      <c r="X16" s="19">
        <f>SUM(X14:X15)</f>
        <v>71</v>
      </c>
      <c r="Y16" s="15">
        <f>SUM(Y14:Y15)</f>
        <v>237</v>
      </c>
      <c r="AA16" s="19">
        <f>SUM(AA14:AA15)</f>
        <v>23</v>
      </c>
      <c r="AB16" s="19">
        <f>SUM(AB14:AB15)</f>
        <v>-102</v>
      </c>
      <c r="AC16" s="19">
        <f>SUM(AC14:AC15)</f>
        <v>133</v>
      </c>
      <c r="AD16" s="19">
        <f>SUM(AD14:AD15)</f>
        <v>104</v>
      </c>
      <c r="AE16" s="15">
        <f>SUM(AE14:AE15)</f>
        <v>158</v>
      </c>
      <c r="AG16" s="19">
        <f>SUM(AG14:AG15)</f>
        <v>59</v>
      </c>
      <c r="AH16" s="19">
        <f>SUM(AH14:AH15)</f>
        <v>126</v>
      </c>
      <c r="AI16" s="19">
        <f>SUM(AI14:AI15)</f>
        <v>138</v>
      </c>
      <c r="AJ16" s="19">
        <f>SUM(AJ14:AJ15)</f>
        <v>140</v>
      </c>
      <c r="AK16" s="15">
        <f>SUM(AK14:AK15)</f>
        <v>463</v>
      </c>
      <c r="AM16" s="19">
        <f>SUM(AM14:AM15)</f>
        <v>110</v>
      </c>
      <c r="AN16" s="19">
        <f>SUM(AN14:AN15)</f>
        <v>312</v>
      </c>
      <c r="AO16" s="19">
        <f>SUM(AO14:AO15)</f>
        <v>193</v>
      </c>
      <c r="AP16" s="19">
        <f>SUM(AP14:AP15)</f>
        <v>154</v>
      </c>
      <c r="AQ16" s="15">
        <f>SUM(AQ14:AQ15)</f>
        <v>769</v>
      </c>
      <c r="AS16" s="19">
        <f>SUM(AS14:AS15)</f>
        <v>160</v>
      </c>
      <c r="AT16" s="19">
        <f>SUM(AT14:AT15)</f>
        <v>308</v>
      </c>
      <c r="AU16" s="19">
        <f>SUM(AU14:AU15)</f>
        <v>215</v>
      </c>
      <c r="AV16" s="19">
        <f>SUM(AV14:AV15)</f>
        <v>305</v>
      </c>
      <c r="AW16" s="15">
        <f>SUM(AW14:AW15)</f>
        <v>988</v>
      </c>
      <c r="AY16" s="19">
        <f>SUM(AY14:AY15)</f>
        <v>184</v>
      </c>
      <c r="AZ16" s="19">
        <f>SUM(AZ14:AZ15)</f>
        <v>309</v>
      </c>
      <c r="BA16" s="19">
        <f>SUM(BA14:BA15)</f>
        <v>187</v>
      </c>
      <c r="BB16" s="19">
        <f>SUM(BB14:BB15)</f>
        <v>-88</v>
      </c>
      <c r="BC16" s="15">
        <f>SUM(BC14:BC15)</f>
        <v>592</v>
      </c>
      <c r="BE16" s="19">
        <f>SUM(BE14:BE15)</f>
        <v>1</v>
      </c>
      <c r="BF16" s="19">
        <f>SUM(BF14:BF15)</f>
        <v>120</v>
      </c>
      <c r="BG16" s="19">
        <f>SUM(BG14:BG15)</f>
        <v>107</v>
      </c>
      <c r="BH16" s="19">
        <f>SUM(BH14:BH15)</f>
        <v>63</v>
      </c>
      <c r="BI16" s="15">
        <f>SUM(BI14:BI15)</f>
        <v>291</v>
      </c>
      <c r="BK16" s="19">
        <f>SUM(BK14:BK15)</f>
        <v>93</v>
      </c>
      <c r="BL16" s="19">
        <f>SUM(BL14:BL15)</f>
        <v>138</v>
      </c>
      <c r="BM16" s="19">
        <f>SUM(BM14:BM15)</f>
        <v>105</v>
      </c>
      <c r="BN16" s="19">
        <f>SUM(BN14:BN15)</f>
        <v>9</v>
      </c>
      <c r="BO16" s="15">
        <f>SUM(BO14:BO15)</f>
        <v>345</v>
      </c>
      <c r="BQ16" s="19">
        <f>SUM(BQ14:BQ15)</f>
        <v>54</v>
      </c>
      <c r="BR16" s="19">
        <f>SUM(BR14:BR15)</f>
        <v>35</v>
      </c>
      <c r="BS16" s="19">
        <f>SUM(BS14:BS15)</f>
        <v>79</v>
      </c>
      <c r="BT16" s="19">
        <f>SUM(BT14:BT15)</f>
        <v>-3</v>
      </c>
      <c r="BU16" s="15">
        <f>SUM(BU14:BU15)</f>
        <v>165</v>
      </c>
      <c r="BW16" s="19">
        <f>SUM(BW14:BW15)</f>
        <v>44</v>
      </c>
      <c r="BX16" s="19">
        <f>SUM(BX14:BX15)</f>
        <v>47</v>
      </c>
      <c r="BY16" s="19">
        <f>SUM(BY14:BY15)</f>
        <v>0</v>
      </c>
      <c r="BZ16" s="19">
        <f>SUM(BZ14:BZ15)</f>
        <v>0</v>
      </c>
      <c r="CA16" s="15">
        <f>SUM(CA14:CA15)</f>
        <v>91</v>
      </c>
    </row>
    <row r="17" spans="1:79" s="12" customFormat="1" ht="12.75" customHeight="1">
      <c r="A17" s="4" t="s">
        <v>136</v>
      </c>
      <c r="B17" s="6"/>
      <c r="C17" s="19"/>
      <c r="D17" s="19"/>
      <c r="E17" s="19"/>
      <c r="F17" s="19"/>
      <c r="G17" s="15"/>
      <c r="H17" s="16"/>
      <c r="I17" s="19"/>
      <c r="J17" s="19"/>
      <c r="K17" s="19"/>
      <c r="L17" s="19"/>
      <c r="M17" s="15"/>
      <c r="O17" s="19"/>
      <c r="P17" s="19"/>
      <c r="Q17" s="19"/>
      <c r="R17" s="19"/>
      <c r="S17" s="15"/>
      <c r="U17" s="19"/>
      <c r="V17" s="19"/>
      <c r="W17" s="19"/>
      <c r="X17" s="19"/>
      <c r="Y17" s="15"/>
      <c r="AA17" s="19">
        <v>0</v>
      </c>
      <c r="AB17" s="19">
        <v>-1</v>
      </c>
      <c r="AC17" s="19">
        <v>5</v>
      </c>
      <c r="AD17" s="19">
        <v>-25</v>
      </c>
      <c r="AE17" s="15">
        <f>SUM(AA17:AD17)</f>
        <v>-21</v>
      </c>
      <c r="AG17" s="19">
        <v>1</v>
      </c>
      <c r="AH17" s="19">
        <v>0</v>
      </c>
      <c r="AI17" s="19">
        <v>0</v>
      </c>
      <c r="AJ17" s="19">
        <v>0</v>
      </c>
      <c r="AK17" s="15">
        <f>SUM(AG17:AJ17)</f>
        <v>1</v>
      </c>
      <c r="AM17" s="19">
        <v>0</v>
      </c>
      <c r="AN17" s="19">
        <v>0</v>
      </c>
      <c r="AO17" s="19"/>
      <c r="AP17" s="19"/>
      <c r="AQ17" s="15">
        <f>SUM(AM17:AP17)</f>
        <v>0</v>
      </c>
      <c r="AS17" s="19">
        <v>0</v>
      </c>
      <c r="AT17" s="19" t="s">
        <v>86</v>
      </c>
      <c r="AU17" s="19"/>
      <c r="AV17" s="19"/>
      <c r="AW17" s="15">
        <f>SUM(AS17:AV17)</f>
        <v>0</v>
      </c>
      <c r="AY17" s="19">
        <v>0</v>
      </c>
      <c r="AZ17" s="19"/>
      <c r="BA17" s="19"/>
      <c r="BB17" s="19"/>
      <c r="BC17" s="15">
        <f>SUM(AY17:BB17)</f>
        <v>0</v>
      </c>
      <c r="BE17" s="19">
        <v>0</v>
      </c>
      <c r="BF17" s="19"/>
      <c r="BG17" s="19"/>
      <c r="BH17" s="19"/>
      <c r="BI17" s="15">
        <f>SUM(BE17:BH17)</f>
        <v>0</v>
      </c>
      <c r="BK17" s="19">
        <v>0</v>
      </c>
      <c r="BL17" s="19">
        <v>0</v>
      </c>
      <c r="BM17" s="19">
        <v>0</v>
      </c>
      <c r="BN17" s="19">
        <v>0</v>
      </c>
      <c r="BO17" s="15">
        <f>SUM(BK17:BN17)</f>
        <v>0</v>
      </c>
      <c r="BQ17" s="19">
        <v>0</v>
      </c>
      <c r="BR17" s="19">
        <v>0</v>
      </c>
      <c r="BS17" s="19">
        <v>0</v>
      </c>
      <c r="BT17" s="19">
        <v>0</v>
      </c>
      <c r="BU17" s="15">
        <f>SUM(BQ17:BT17)</f>
        <v>0</v>
      </c>
      <c r="BW17" s="14">
        <v>0</v>
      </c>
      <c r="BX17" s="19">
        <v>1404</v>
      </c>
      <c r="BY17" s="19"/>
      <c r="BZ17" s="19"/>
      <c r="CA17" s="15">
        <f>SUM(BW17:BZ17)</f>
        <v>1404</v>
      </c>
    </row>
    <row r="18" spans="1:79">
      <c r="A18" s="4" t="s">
        <v>6</v>
      </c>
      <c r="C18" s="20">
        <v>-4</v>
      </c>
      <c r="D18" s="20">
        <v>-9</v>
      </c>
      <c r="E18" s="20">
        <v>-1</v>
      </c>
      <c r="F18" s="20">
        <v>-6</v>
      </c>
      <c r="G18" s="21">
        <f>SUM(C18:F18)</f>
        <v>-20</v>
      </c>
      <c r="H18" s="16"/>
      <c r="I18" s="20">
        <v>-4</v>
      </c>
      <c r="J18" s="20">
        <v>-7</v>
      </c>
      <c r="K18" s="20">
        <v>-4</v>
      </c>
      <c r="L18" s="20">
        <v>99</v>
      </c>
      <c r="M18" s="21">
        <f>SUM(I18:L18)</f>
        <v>84</v>
      </c>
      <c r="O18" s="20">
        <v>-6</v>
      </c>
      <c r="P18" s="20">
        <v>-8</v>
      </c>
      <c r="Q18" s="20">
        <v>-2</v>
      </c>
      <c r="R18" s="20">
        <v>-15</v>
      </c>
      <c r="S18" s="21">
        <f>SUM(O18:R18)</f>
        <v>-31</v>
      </c>
      <c r="U18" s="20">
        <v>-7</v>
      </c>
      <c r="V18" s="20">
        <v>-10</v>
      </c>
      <c r="W18" s="20">
        <v>-4</v>
      </c>
      <c r="X18" s="20">
        <v>27</v>
      </c>
      <c r="Y18" s="21">
        <f>SUM(U18:X18)</f>
        <v>6</v>
      </c>
      <c r="AA18" s="20">
        <v>-6</v>
      </c>
      <c r="AB18" s="20">
        <v>44</v>
      </c>
      <c r="AC18" s="20">
        <v>-4</v>
      </c>
      <c r="AD18" s="20">
        <v>27</v>
      </c>
      <c r="AE18" s="21">
        <f>SUM(AA18:AD18)</f>
        <v>61</v>
      </c>
      <c r="AG18" s="20">
        <v>-7</v>
      </c>
      <c r="AH18" s="20">
        <v>-21</v>
      </c>
      <c r="AI18" s="20">
        <v>-21</v>
      </c>
      <c r="AJ18" s="20">
        <v>-54</v>
      </c>
      <c r="AK18" s="21">
        <f>SUM(AG18:AJ18)</f>
        <v>-103</v>
      </c>
      <c r="AM18" s="20">
        <v>-25</v>
      </c>
      <c r="AN18" s="20">
        <v>-84</v>
      </c>
      <c r="AO18" s="20">
        <v>-47</v>
      </c>
      <c r="AP18" s="20">
        <v>-10</v>
      </c>
      <c r="AQ18" s="21">
        <f>SUM(AM18:AP18)</f>
        <v>-166</v>
      </c>
      <c r="AS18" s="20">
        <v>-40</v>
      </c>
      <c r="AT18" s="20">
        <v>-84</v>
      </c>
      <c r="AU18" s="20">
        <v>-48</v>
      </c>
      <c r="AV18" s="20">
        <v>4</v>
      </c>
      <c r="AW18" s="21">
        <f>SUM(AS18:AV18)</f>
        <v>-168</v>
      </c>
      <c r="AY18" s="20">
        <v>-46</v>
      </c>
      <c r="AZ18" s="20">
        <v>-77</v>
      </c>
      <c r="BA18" s="20">
        <v>-48</v>
      </c>
      <c r="BB18" s="20">
        <v>-17</v>
      </c>
      <c r="BC18" s="21">
        <f>SUM(AY18:BB18)</f>
        <v>-188</v>
      </c>
      <c r="BE18" s="20">
        <v>-1</v>
      </c>
      <c r="BF18" s="20">
        <v>-26</v>
      </c>
      <c r="BG18" s="20">
        <v>-36</v>
      </c>
      <c r="BH18" s="20">
        <v>10</v>
      </c>
      <c r="BI18" s="21">
        <f>SUM(BE18:BH18)</f>
        <v>-53</v>
      </c>
      <c r="BK18" s="20">
        <v>-28</v>
      </c>
      <c r="BL18" s="20">
        <v>-41</v>
      </c>
      <c r="BM18" s="20">
        <v>-25</v>
      </c>
      <c r="BN18" s="20">
        <v>19</v>
      </c>
      <c r="BO18" s="21">
        <f>SUM(BK18:BN18)</f>
        <v>-75</v>
      </c>
      <c r="BQ18" s="20">
        <v>-3</v>
      </c>
      <c r="BR18" s="20">
        <v>-5</v>
      </c>
      <c r="BS18" s="20">
        <v>-36</v>
      </c>
      <c r="BT18" s="20">
        <v>6</v>
      </c>
      <c r="BU18" s="21">
        <f>SUM(BQ18:BT18)</f>
        <v>-38</v>
      </c>
      <c r="BW18" s="20">
        <v>-13</v>
      </c>
      <c r="BX18" s="20">
        <v>-12</v>
      </c>
      <c r="BY18" s="20"/>
      <c r="BZ18" s="20"/>
      <c r="CA18" s="21">
        <f>SUM(BW18:BZ18)</f>
        <v>-25</v>
      </c>
    </row>
    <row r="19" spans="1:79" s="12" customFormat="1" ht="18.75" customHeight="1" thickBot="1">
      <c r="A19" s="12" t="s">
        <v>7</v>
      </c>
      <c r="B19" s="6"/>
      <c r="C19" s="19">
        <f>SUM(C16:C18)</f>
        <v>-9</v>
      </c>
      <c r="D19" s="19">
        <f>SUM(D16:D18)</f>
        <v>73</v>
      </c>
      <c r="E19" s="19">
        <f>SUM(E16:E18)</f>
        <v>-56</v>
      </c>
      <c r="F19" s="19">
        <f>SUM(F16:F18)</f>
        <v>-73</v>
      </c>
      <c r="G19" s="15">
        <f>SUM(G16:G18)</f>
        <v>-65</v>
      </c>
      <c r="H19" s="16"/>
      <c r="I19" s="19">
        <f>SUM(I16:I18)</f>
        <v>-41</v>
      </c>
      <c r="J19" s="19">
        <f>SUM(J16:J18)</f>
        <v>-33</v>
      </c>
      <c r="K19" s="19">
        <f>SUM(K16:K18)</f>
        <v>-10</v>
      </c>
      <c r="L19" s="19">
        <f>SUM(L16:L18)</f>
        <v>-772</v>
      </c>
      <c r="M19" s="15">
        <f>SUM(M16:M18)</f>
        <v>-856</v>
      </c>
      <c r="O19" s="19">
        <f>SUM(O16:O18)</f>
        <v>-8</v>
      </c>
      <c r="P19" s="19">
        <f>SUM(P16:P18)</f>
        <v>23</v>
      </c>
      <c r="Q19" s="19">
        <f>SUM(Q16:Q18)</f>
        <v>39</v>
      </c>
      <c r="R19" s="19">
        <f>SUM(R16:R18)</f>
        <v>23</v>
      </c>
      <c r="S19" s="15">
        <f>SUM(S16:S18)</f>
        <v>77</v>
      </c>
      <c r="U19" s="19">
        <f>SUM(U16:U18)</f>
        <v>-4</v>
      </c>
      <c r="V19" s="19">
        <f>SUM(V16:V18)</f>
        <v>44</v>
      </c>
      <c r="W19" s="19">
        <f>SUM(W16:W18)</f>
        <v>105</v>
      </c>
      <c r="X19" s="19">
        <f>SUM(X16:X18)</f>
        <v>98</v>
      </c>
      <c r="Y19" s="15">
        <f>SUM(Y16:Y18)</f>
        <v>243</v>
      </c>
      <c r="AA19" s="34">
        <f>SUM(AA16:AA18)</f>
        <v>17</v>
      </c>
      <c r="AB19" s="34">
        <f>SUM(AB16:AB18)</f>
        <v>-59</v>
      </c>
      <c r="AC19" s="34">
        <f>SUM(AC16:AC18)</f>
        <v>134</v>
      </c>
      <c r="AD19" s="34">
        <f>SUM(AD16:AD18)</f>
        <v>106</v>
      </c>
      <c r="AE19" s="35">
        <f>SUM(AE16:AE18)</f>
        <v>198</v>
      </c>
      <c r="AG19" s="34">
        <f>SUM(AG16:AG18)</f>
        <v>53</v>
      </c>
      <c r="AH19" s="34">
        <f>SUM(AH16:AH18)</f>
        <v>105</v>
      </c>
      <c r="AI19" s="34">
        <f>SUM(AI16:AI18)</f>
        <v>117</v>
      </c>
      <c r="AJ19" s="34">
        <f>SUM(AJ16:AJ18)</f>
        <v>86</v>
      </c>
      <c r="AK19" s="35">
        <f>SUM(AK16:AK18)</f>
        <v>361</v>
      </c>
      <c r="AM19" s="34">
        <f>SUM(AM16:AM18)</f>
        <v>85</v>
      </c>
      <c r="AN19" s="34">
        <f>SUM(AN16:AN18)</f>
        <v>228</v>
      </c>
      <c r="AO19" s="34">
        <f>SUM(AO16:AO18)</f>
        <v>146</v>
      </c>
      <c r="AP19" s="34">
        <f>SUM(AP16:AP18)</f>
        <v>144</v>
      </c>
      <c r="AQ19" s="35">
        <f>SUM(AQ16:AQ18)</f>
        <v>603</v>
      </c>
      <c r="AS19" s="34">
        <f>SUM(AS16:AS18)</f>
        <v>120</v>
      </c>
      <c r="AT19" s="34">
        <f>SUM(AT16:AT18)</f>
        <v>224</v>
      </c>
      <c r="AU19" s="34">
        <f>SUM(AU16:AU18)</f>
        <v>167</v>
      </c>
      <c r="AV19" s="34">
        <f>SUM(AV16:AV18)</f>
        <v>309</v>
      </c>
      <c r="AW19" s="35">
        <f>SUM(AW16:AW18)</f>
        <v>820</v>
      </c>
      <c r="AY19" s="34">
        <f>SUM(AY16:AY18)</f>
        <v>138</v>
      </c>
      <c r="AZ19" s="34">
        <f>SUM(AZ16:AZ18)</f>
        <v>232</v>
      </c>
      <c r="BA19" s="34">
        <f>SUM(BA16:BA18)</f>
        <v>139</v>
      </c>
      <c r="BB19" s="34">
        <f>SUM(BB16:BB18)</f>
        <v>-105</v>
      </c>
      <c r="BC19" s="35">
        <f>SUM(BC16:BC18)</f>
        <v>404</v>
      </c>
      <c r="BE19" s="41">
        <f>SUM(BE16:BE18)</f>
        <v>0</v>
      </c>
      <c r="BF19" s="34">
        <f>SUM(BF16:BF18)</f>
        <v>94</v>
      </c>
      <c r="BG19" s="34">
        <f>SUM(BG16:BG18)</f>
        <v>71</v>
      </c>
      <c r="BH19" s="34">
        <f>SUM(BH16:BH18)</f>
        <v>73</v>
      </c>
      <c r="BI19" s="35">
        <f>SUM(BI16:BI18)</f>
        <v>238</v>
      </c>
      <c r="BK19" s="41">
        <f>SUM(BK16:BK18)</f>
        <v>65</v>
      </c>
      <c r="BL19" s="34">
        <f>SUM(BL16:BL18)</f>
        <v>97</v>
      </c>
      <c r="BM19" s="34">
        <f>SUM(BM16:BM18)</f>
        <v>80</v>
      </c>
      <c r="BN19" s="34">
        <f>SUM(BN16:BN18)</f>
        <v>28</v>
      </c>
      <c r="BO19" s="35">
        <f>SUM(BO16:BO18)</f>
        <v>270</v>
      </c>
      <c r="BQ19" s="41">
        <f>SUM(BQ16:BQ18)</f>
        <v>51</v>
      </c>
      <c r="BR19" s="34">
        <f>SUM(BR16:BR18)</f>
        <v>30</v>
      </c>
      <c r="BS19" s="34">
        <f>SUM(BS16:BS18)</f>
        <v>43</v>
      </c>
      <c r="BT19" s="34">
        <f>SUM(BT16:BT18)</f>
        <v>3</v>
      </c>
      <c r="BU19" s="35">
        <f>SUM(BU16:BU18)</f>
        <v>127</v>
      </c>
      <c r="BW19" s="41">
        <f>SUM(BW16:BW18)</f>
        <v>31</v>
      </c>
      <c r="BX19" s="34">
        <f>SUM(BX16:BX18)</f>
        <v>1439</v>
      </c>
      <c r="BY19" s="34">
        <f>SUM(BY16:BY18)</f>
        <v>0</v>
      </c>
      <c r="BZ19" s="34">
        <f>SUM(BZ16:BZ18)</f>
        <v>0</v>
      </c>
      <c r="CA19" s="35">
        <f>SUM(CA16:CA18)</f>
        <v>1470</v>
      </c>
    </row>
    <row r="20" spans="1:79" ht="13.5" thickTop="1">
      <c r="A20" s="4" t="s">
        <v>8</v>
      </c>
      <c r="C20" s="14">
        <v>8</v>
      </c>
      <c r="D20" s="14">
        <v>3</v>
      </c>
      <c r="E20" s="14">
        <v>10</v>
      </c>
      <c r="F20" s="14">
        <v>11</v>
      </c>
      <c r="G20" s="15">
        <f>SUM(C20:F20)</f>
        <v>32</v>
      </c>
      <c r="H20" s="16"/>
      <c r="I20" s="14">
        <v>9</v>
      </c>
      <c r="J20" s="14">
        <v>10</v>
      </c>
      <c r="K20" s="14">
        <v>10</v>
      </c>
      <c r="L20" s="14">
        <v>131</v>
      </c>
      <c r="M20" s="15">
        <f>SUM(I20:L20)</f>
        <v>160</v>
      </c>
      <c r="O20" s="14">
        <v>6</v>
      </c>
      <c r="P20" s="14">
        <v>0</v>
      </c>
      <c r="Q20" s="14">
        <v>-6</v>
      </c>
      <c r="R20" s="14">
        <v>8</v>
      </c>
      <c r="S20" s="15">
        <f>SUM(O20:R20)</f>
        <v>8</v>
      </c>
      <c r="U20" s="14">
        <v>7</v>
      </c>
      <c r="V20" s="14">
        <v>1</v>
      </c>
      <c r="W20" s="14">
        <v>3</v>
      </c>
      <c r="X20" s="14">
        <v>8</v>
      </c>
      <c r="Y20" s="15">
        <f>SUM(U20:X20)</f>
        <v>19</v>
      </c>
      <c r="AA20" s="48">
        <v>-1</v>
      </c>
      <c r="AB20" s="48">
        <v>-3</v>
      </c>
      <c r="AC20" s="48">
        <v>-4</v>
      </c>
      <c r="AD20" s="48">
        <v>-4</v>
      </c>
      <c r="AE20" s="53">
        <f>SUM(AA20:AD20)</f>
        <v>-12</v>
      </c>
      <c r="AG20" s="48">
        <v>-1</v>
      </c>
      <c r="AH20" s="48">
        <v>-2</v>
      </c>
      <c r="AI20" s="48">
        <v>-2</v>
      </c>
      <c r="AJ20" s="48">
        <v>1</v>
      </c>
      <c r="AK20" s="53">
        <f>SUM(AG20:AJ20)</f>
        <v>-4</v>
      </c>
      <c r="AM20" s="48">
        <v>0</v>
      </c>
      <c r="AN20" s="48">
        <v>-8</v>
      </c>
      <c r="AO20" s="48">
        <v>-8</v>
      </c>
      <c r="AP20" s="48">
        <v>-5</v>
      </c>
      <c r="AQ20" s="53">
        <f>SUM(AM20:AP20)</f>
        <v>-21</v>
      </c>
      <c r="AS20" s="48">
        <v>-1</v>
      </c>
      <c r="AT20" s="48">
        <v>-4</v>
      </c>
      <c r="AU20" s="48">
        <v>-4</v>
      </c>
      <c r="AV20" s="48">
        <v>-6</v>
      </c>
      <c r="AW20" s="53">
        <f>SUM(AS20:AV20)</f>
        <v>-15</v>
      </c>
      <c r="AY20" s="48">
        <v>-2</v>
      </c>
      <c r="AZ20" s="48">
        <v>-1</v>
      </c>
      <c r="BA20" s="48">
        <v>-5</v>
      </c>
      <c r="BB20" s="48">
        <v>5</v>
      </c>
      <c r="BC20" s="53">
        <f>SUM(AY20:BB20)</f>
        <v>-3</v>
      </c>
      <c r="BE20" s="48">
        <v>2</v>
      </c>
      <c r="BF20" s="48">
        <v>0</v>
      </c>
      <c r="BG20" s="48">
        <v>-1</v>
      </c>
      <c r="BH20" s="48">
        <v>2</v>
      </c>
      <c r="BI20" s="53">
        <f>SUM(BE20:BH20)</f>
        <v>3</v>
      </c>
      <c r="BK20" s="48">
        <v>0</v>
      </c>
      <c r="BL20" s="48">
        <v>-2</v>
      </c>
      <c r="BM20" s="48">
        <v>-1</v>
      </c>
      <c r="BN20" s="48">
        <v>-1</v>
      </c>
      <c r="BO20" s="53">
        <f>SUM(BK20:BN20)</f>
        <v>-4</v>
      </c>
      <c r="BQ20" s="48">
        <v>0</v>
      </c>
      <c r="BR20" s="48">
        <v>0</v>
      </c>
      <c r="BS20" s="48">
        <v>-1</v>
      </c>
      <c r="BT20" s="48">
        <v>-1</v>
      </c>
      <c r="BU20" s="53">
        <f>SUM(BQ20:BT20)</f>
        <v>-2</v>
      </c>
      <c r="BW20" s="48">
        <v>-1</v>
      </c>
      <c r="BX20" s="48">
        <v>1</v>
      </c>
      <c r="BY20" s="48"/>
      <c r="BZ20" s="48"/>
      <c r="CA20" s="53">
        <f>SUM(BW20:BZ20)</f>
        <v>0</v>
      </c>
    </row>
    <row r="21" spans="1:79" s="12" customFormat="1" ht="18.75" customHeight="1" thickBot="1">
      <c r="A21" s="12" t="s">
        <v>9</v>
      </c>
      <c r="B21" s="6"/>
      <c r="C21" s="34">
        <f>SUM(C19:C20)</f>
        <v>-1</v>
      </c>
      <c r="D21" s="34">
        <f>SUM(D19:D20)</f>
        <v>76</v>
      </c>
      <c r="E21" s="34">
        <f>SUM(E19:E20)</f>
        <v>-46</v>
      </c>
      <c r="F21" s="34">
        <f>SUM(F19:F20)</f>
        <v>-62</v>
      </c>
      <c r="G21" s="35">
        <f>SUM(G19:G20)</f>
        <v>-33</v>
      </c>
      <c r="H21" s="16"/>
      <c r="I21" s="34">
        <f>SUM(I19:I20)</f>
        <v>-32</v>
      </c>
      <c r="J21" s="34">
        <f>SUM(J19:J20)</f>
        <v>-23</v>
      </c>
      <c r="K21" s="34">
        <f>SUM(K19:K20)</f>
        <v>0</v>
      </c>
      <c r="L21" s="34">
        <f>SUM(L19:L20)</f>
        <v>-641</v>
      </c>
      <c r="M21" s="35">
        <f>SUM(M19:M20)</f>
        <v>-696</v>
      </c>
      <c r="O21" s="34">
        <f>SUM(O19:O20)</f>
        <v>-2</v>
      </c>
      <c r="P21" s="34">
        <f>SUM(P19:P20)</f>
        <v>23</v>
      </c>
      <c r="Q21" s="34">
        <f>SUM(Q19:Q20)</f>
        <v>33</v>
      </c>
      <c r="R21" s="34">
        <f>SUM(R19:R20)</f>
        <v>31</v>
      </c>
      <c r="S21" s="35">
        <f>SUM(S19:S20)</f>
        <v>85</v>
      </c>
      <c r="U21" s="34">
        <f>SUM(U19:U20)</f>
        <v>3</v>
      </c>
      <c r="V21" s="34">
        <f>SUM(V19:V20)</f>
        <v>45</v>
      </c>
      <c r="W21" s="34">
        <f>SUM(W19:W20)</f>
        <v>108</v>
      </c>
      <c r="X21" s="34">
        <f>SUM(X19:X20)</f>
        <v>106</v>
      </c>
      <c r="Y21" s="35">
        <f>SUM(Y19:Y20)</f>
        <v>262</v>
      </c>
      <c r="AA21" s="48">
        <f>SUM(AA19:AA20)</f>
        <v>16</v>
      </c>
      <c r="AB21" s="48">
        <f>SUM(AB19:AB20)</f>
        <v>-62</v>
      </c>
      <c r="AC21" s="48">
        <f>SUM(AC19:AC20)</f>
        <v>130</v>
      </c>
      <c r="AD21" s="48">
        <f>SUM(AD19:AD20)</f>
        <v>102</v>
      </c>
      <c r="AE21" s="53">
        <f>SUM(AE19:AE20)</f>
        <v>186</v>
      </c>
      <c r="AG21" s="48">
        <f>SUM(AG19:AG20)</f>
        <v>52</v>
      </c>
      <c r="AH21" s="48">
        <f>SUM(AH19:AH20)</f>
        <v>103</v>
      </c>
      <c r="AI21" s="48">
        <f>SUM(AI19:AI20)</f>
        <v>115</v>
      </c>
      <c r="AJ21" s="48">
        <f>SUM(AJ19:AJ20)</f>
        <v>87</v>
      </c>
      <c r="AK21" s="53">
        <f>SUM(AK19:AK20)</f>
        <v>357</v>
      </c>
      <c r="AM21" s="48">
        <f>SUM(AM19:AM20)</f>
        <v>85</v>
      </c>
      <c r="AN21" s="48">
        <f>SUM(AN19:AN20)</f>
        <v>220</v>
      </c>
      <c r="AO21" s="48">
        <f>SUM(AO19:AO20)</f>
        <v>138</v>
      </c>
      <c r="AP21" s="48">
        <f>SUM(AP19:AP20)</f>
        <v>139</v>
      </c>
      <c r="AQ21" s="53">
        <f>SUM(AQ19:AQ20)</f>
        <v>582</v>
      </c>
      <c r="AS21" s="48">
        <f>SUM(AS19:AS20)</f>
        <v>119</v>
      </c>
      <c r="AT21" s="48">
        <f>SUM(AT19:AT20)</f>
        <v>220</v>
      </c>
      <c r="AU21" s="48">
        <f>SUM(AU19:AU20)</f>
        <v>163</v>
      </c>
      <c r="AV21" s="48">
        <f>SUM(AV19:AV20)</f>
        <v>303</v>
      </c>
      <c r="AW21" s="53">
        <f>SUM(AW19:AW20)</f>
        <v>805</v>
      </c>
      <c r="AY21" s="48">
        <f>SUM(AY19:AY20)</f>
        <v>136</v>
      </c>
      <c r="AZ21" s="48">
        <f>SUM(AZ19:AZ20)</f>
        <v>231</v>
      </c>
      <c r="BA21" s="48">
        <f>SUM(BA19:BA20)</f>
        <v>134</v>
      </c>
      <c r="BB21" s="48">
        <f>SUM(BB19:BB20)</f>
        <v>-100</v>
      </c>
      <c r="BC21" s="53">
        <f>SUM(BC19:BC20)</f>
        <v>401</v>
      </c>
      <c r="BE21" s="48">
        <f>SUM(BE19:BE20)</f>
        <v>2</v>
      </c>
      <c r="BF21" s="48">
        <f>SUM(BF19:BF20)</f>
        <v>94</v>
      </c>
      <c r="BG21" s="48">
        <f>SUM(BG19:BG20)</f>
        <v>70</v>
      </c>
      <c r="BH21" s="48">
        <f>SUM(BH19:BH20)</f>
        <v>75</v>
      </c>
      <c r="BI21" s="53">
        <f>SUM(BI19:BI20)</f>
        <v>241</v>
      </c>
      <c r="BK21" s="48">
        <f>SUM(BK19:BK20)</f>
        <v>65</v>
      </c>
      <c r="BL21" s="48">
        <f>SUM(BL19:BL20)</f>
        <v>95</v>
      </c>
      <c r="BM21" s="48">
        <f>SUM(BM19:BM20)</f>
        <v>79</v>
      </c>
      <c r="BN21" s="48">
        <f>SUM(BN19:BN20)</f>
        <v>27</v>
      </c>
      <c r="BO21" s="53">
        <f>SUM(BO19:BO20)</f>
        <v>266</v>
      </c>
      <c r="BQ21" s="48">
        <f>SUM(BQ19:BQ20)</f>
        <v>51</v>
      </c>
      <c r="BR21" s="48">
        <f>SUM(BR19:BR20)</f>
        <v>30</v>
      </c>
      <c r="BS21" s="48">
        <f>SUM(BS19:BS20)</f>
        <v>42</v>
      </c>
      <c r="BT21" s="48">
        <v>-1</v>
      </c>
      <c r="BU21" s="53">
        <f>SUM(BU19:BU20)</f>
        <v>125</v>
      </c>
      <c r="BW21" s="48">
        <f>SUM(BW19:BW20)</f>
        <v>30</v>
      </c>
      <c r="BX21" s="48">
        <f>SUM(BX19:BX20)</f>
        <v>1440</v>
      </c>
      <c r="BY21" s="48"/>
      <c r="BZ21" s="48"/>
      <c r="CA21" s="53">
        <f>SUM(CA19:CA20)</f>
        <v>1470</v>
      </c>
    </row>
    <row r="22" spans="1:79" ht="13.5" thickTop="1">
      <c r="AW22" s="12"/>
      <c r="BC22" s="12"/>
      <c r="BI22" s="12"/>
      <c r="BM22" s="14"/>
      <c r="BO22" s="12"/>
      <c r="BS22" s="14"/>
      <c r="BU22" s="12"/>
      <c r="BY22" s="14"/>
      <c r="CA22" s="12"/>
    </row>
    <row r="23" spans="1:79">
      <c r="AW23" s="12"/>
      <c r="BC23" s="12"/>
      <c r="BI23" s="12"/>
      <c r="BO23" s="12"/>
      <c r="BU23" s="12"/>
      <c r="CA23" s="12"/>
    </row>
    <row r="24" spans="1:79">
      <c r="A24" s="12" t="s">
        <v>117</v>
      </c>
      <c r="C24" s="14" t="s">
        <v>86</v>
      </c>
      <c r="D24" s="14" t="s">
        <v>86</v>
      </c>
      <c r="E24" s="14" t="s">
        <v>86</v>
      </c>
      <c r="F24" s="14" t="s">
        <v>86</v>
      </c>
      <c r="G24" s="14" t="s">
        <v>86</v>
      </c>
      <c r="H24" s="3" t="s">
        <v>86</v>
      </c>
      <c r="I24" s="14" t="s">
        <v>86</v>
      </c>
      <c r="J24" s="14" t="s">
        <v>86</v>
      </c>
      <c r="K24" s="14" t="s">
        <v>86</v>
      </c>
      <c r="L24" s="14" t="s">
        <v>86</v>
      </c>
      <c r="M24" s="14" t="s">
        <v>86</v>
      </c>
      <c r="O24" s="14">
        <f>+'Segment Data'!O17</f>
        <v>1339</v>
      </c>
      <c r="P24" s="14">
        <f>+'Segment Data'!P17</f>
        <v>1476</v>
      </c>
      <c r="Q24" s="14">
        <f>+'Segment Data'!Q17</f>
        <v>1535</v>
      </c>
      <c r="R24" s="14">
        <f>+'Segment Data'!R17</f>
        <v>1490</v>
      </c>
      <c r="S24" s="14">
        <f>+'Segment Data'!S17</f>
        <v>5840</v>
      </c>
      <c r="T24" s="4" t="s">
        <v>86</v>
      </c>
      <c r="U24" s="14" t="s">
        <v>86</v>
      </c>
      <c r="V24" s="14" t="s">
        <v>87</v>
      </c>
      <c r="W24" s="14" t="s">
        <v>86</v>
      </c>
      <c r="X24" s="14" t="s">
        <v>86</v>
      </c>
      <c r="Y24" s="14" t="s">
        <v>86</v>
      </c>
      <c r="AA24" s="14">
        <f>+'Segment Data'!AA17</f>
        <v>1353</v>
      </c>
      <c r="AB24" s="14">
        <f>+'Segment Data'!AB17</f>
        <v>1861</v>
      </c>
      <c r="AC24" s="14">
        <f>+'Segment Data'!AC17</f>
        <v>1993</v>
      </c>
      <c r="AD24" s="14">
        <f>+'Segment Data'!AD17</f>
        <v>1989</v>
      </c>
      <c r="AE24" s="14">
        <f>+'Segment Data'!AE17</f>
        <v>7196</v>
      </c>
      <c r="AG24" s="14">
        <f>+'Segment Data'!AG17</f>
        <v>1789</v>
      </c>
      <c r="AH24" s="14">
        <f>+'Segment Data'!AH17</f>
        <v>2164</v>
      </c>
      <c r="AI24" s="14">
        <f>+'Segment Data'!AI17</f>
        <v>2077</v>
      </c>
      <c r="AJ24" s="14">
        <f>+'Segment Data'!AJ17</f>
        <v>2150</v>
      </c>
      <c r="AK24" s="60">
        <f>+'Segment Data'!AK17</f>
        <v>8180</v>
      </c>
      <c r="AM24" s="14">
        <f>+'Segment Data'!AM17</f>
        <v>2149</v>
      </c>
      <c r="AN24" s="14">
        <f>+'Segment Data'!AN17</f>
        <v>2358</v>
      </c>
      <c r="AO24" s="14">
        <f>+'Segment Data'!AO17</f>
        <v>2178</v>
      </c>
      <c r="AP24" s="14">
        <f>+'Segment Data'!AP17</f>
        <v>2315</v>
      </c>
      <c r="AQ24" s="60">
        <f>+'Segment Data'!AQ17</f>
        <v>9000</v>
      </c>
      <c r="AS24" s="14">
        <f>+'Segment Data'!AS17</f>
        <v>2539</v>
      </c>
      <c r="AT24" s="14">
        <f>+'Segment Data'!AT17</f>
        <v>2869</v>
      </c>
      <c r="AU24" s="58">
        <f>+'Segment Data'!AU17</f>
        <v>2619</v>
      </c>
      <c r="AV24" s="58">
        <f>+'Segment Data'!AV17</f>
        <v>2771</v>
      </c>
      <c r="AW24" s="60">
        <f>+'Segment Data'!AW17</f>
        <v>10798</v>
      </c>
      <c r="AY24" s="14">
        <f>+'Segment Data'!AY17</f>
        <v>2699</v>
      </c>
      <c r="AZ24" s="14">
        <f>+'Segment Data'!AZ17</f>
        <v>3081</v>
      </c>
      <c r="BA24" s="14">
        <f>+'Segment Data'!BA17</f>
        <v>2814</v>
      </c>
      <c r="BB24" s="14">
        <f>+'Segment Data'!BB17</f>
        <v>2679</v>
      </c>
      <c r="BC24" s="14">
        <f>+'Segment Data'!BC17</f>
        <v>11273</v>
      </c>
      <c r="BE24" s="14">
        <f>+'Segment Data'!BE17</f>
        <v>2343</v>
      </c>
      <c r="BF24" s="14">
        <f>+'Segment Data'!BF17</f>
        <v>2691</v>
      </c>
      <c r="BG24" s="14">
        <f>+'Segment Data'!BG17</f>
        <v>2463</v>
      </c>
      <c r="BH24" s="14">
        <f>+'Segment Data'!BH17</f>
        <v>2453</v>
      </c>
      <c r="BI24" s="60">
        <f>+'Segment Data'!BI17</f>
        <v>9950</v>
      </c>
      <c r="BK24" s="14">
        <f>+'Segment Data'!BK17</f>
        <v>2494</v>
      </c>
      <c r="BL24" s="14">
        <f>+'Segment Data'!BL17</f>
        <v>2953</v>
      </c>
      <c r="BM24" s="14">
        <f>+'Segment Data'!BM17</f>
        <v>2943</v>
      </c>
      <c r="BN24" s="14">
        <f>+'Segment Data'!BN17</f>
        <v>3088</v>
      </c>
      <c r="BO24" s="60">
        <f>+'Segment Data'!BO17</f>
        <v>11478</v>
      </c>
      <c r="BQ24" s="14">
        <f>+'Segment Data'!BQ17</f>
        <v>2863</v>
      </c>
      <c r="BR24" s="14">
        <f>+'Segment Data'!BR17</f>
        <v>3077</v>
      </c>
      <c r="BS24" s="14">
        <f>+'Segment Data'!BS17</f>
        <v>3027</v>
      </c>
      <c r="BT24" s="14">
        <f>+'Segment Data'!BT17</f>
        <v>3184</v>
      </c>
      <c r="BU24" s="60">
        <f>+'Segment Data'!BU17</f>
        <v>12151</v>
      </c>
      <c r="BW24" s="14">
        <f>+'Segment Data'!BW17</f>
        <v>2806</v>
      </c>
      <c r="BX24" s="14">
        <f>+'Segment Data'!BX17</f>
        <v>3079</v>
      </c>
      <c r="BY24" s="14">
        <f>+'Segment Data'!BY17</f>
        <v>0</v>
      </c>
      <c r="BZ24" s="14">
        <f>+'Segment Data'!BZ17</f>
        <v>0</v>
      </c>
      <c r="CA24" s="60">
        <f>+'Segment Data'!CA17</f>
        <v>5885</v>
      </c>
    </row>
    <row r="25" spans="1:79">
      <c r="AW25" s="12"/>
      <c r="BC25" s="12"/>
      <c r="BI25" s="12"/>
      <c r="BO25" s="12"/>
      <c r="BU25" s="12"/>
      <c r="CA25" s="12"/>
    </row>
    <row r="26" spans="1:79">
      <c r="A26" s="5" t="s">
        <v>15</v>
      </c>
      <c r="B26" s="6"/>
      <c r="C26" s="71" t="s">
        <v>10</v>
      </c>
      <c r="D26" s="71" t="s">
        <v>11</v>
      </c>
      <c r="E26" s="71" t="s">
        <v>12</v>
      </c>
      <c r="F26" s="71" t="s">
        <v>13</v>
      </c>
      <c r="G26" s="23"/>
      <c r="H26" s="9"/>
      <c r="I26" s="71" t="s">
        <v>10</v>
      </c>
      <c r="J26" s="71" t="s">
        <v>11</v>
      </c>
      <c r="K26" s="71" t="s">
        <v>12</v>
      </c>
      <c r="L26" s="71" t="s">
        <v>13</v>
      </c>
      <c r="M26" s="23"/>
      <c r="O26" s="71" t="s">
        <v>10</v>
      </c>
      <c r="P26" s="71" t="s">
        <v>11</v>
      </c>
      <c r="Q26" s="71" t="s">
        <v>12</v>
      </c>
      <c r="R26" s="71" t="s">
        <v>13</v>
      </c>
      <c r="S26" s="23"/>
      <c r="U26" s="71" t="s">
        <v>10</v>
      </c>
      <c r="V26" s="71" t="s">
        <v>11</v>
      </c>
      <c r="W26" s="71" t="s">
        <v>12</v>
      </c>
      <c r="X26" s="71" t="s">
        <v>13</v>
      </c>
      <c r="Y26" s="23"/>
      <c r="AA26" s="71" t="s">
        <v>10</v>
      </c>
      <c r="AB26" s="71" t="s">
        <v>11</v>
      </c>
      <c r="AC26" s="71" t="s">
        <v>12</v>
      </c>
      <c r="AD26" s="71" t="s">
        <v>13</v>
      </c>
      <c r="AE26" s="23"/>
      <c r="AG26" s="71" t="s">
        <v>10</v>
      </c>
      <c r="AH26" s="71" t="s">
        <v>11</v>
      </c>
      <c r="AI26" s="71" t="s">
        <v>12</v>
      </c>
      <c r="AJ26" s="71" t="s">
        <v>13</v>
      </c>
      <c r="AK26" s="23"/>
      <c r="AM26" s="71" t="s">
        <v>10</v>
      </c>
      <c r="AN26" s="71" t="s">
        <v>11</v>
      </c>
      <c r="AO26" s="71" t="s">
        <v>12</v>
      </c>
      <c r="AP26" s="71" t="s">
        <v>13</v>
      </c>
      <c r="AQ26" s="23"/>
      <c r="AS26" s="71" t="s">
        <v>10</v>
      </c>
      <c r="AT26" s="71" t="s">
        <v>11</v>
      </c>
      <c r="AU26" s="71" t="s">
        <v>12</v>
      </c>
      <c r="AV26" s="71" t="s">
        <v>13</v>
      </c>
      <c r="AW26" s="23"/>
      <c r="AY26" s="71" t="s">
        <v>10</v>
      </c>
      <c r="AZ26" s="71" t="s">
        <v>11</v>
      </c>
      <c r="BA26" s="71" t="s">
        <v>12</v>
      </c>
      <c r="BB26" s="71" t="s">
        <v>13</v>
      </c>
      <c r="BC26" s="23"/>
      <c r="BE26" s="71" t="s">
        <v>10</v>
      </c>
      <c r="BF26" s="71" t="s">
        <v>11</v>
      </c>
      <c r="BG26" s="71" t="s">
        <v>12</v>
      </c>
      <c r="BH26" s="71" t="s">
        <v>13</v>
      </c>
      <c r="BI26" s="23"/>
      <c r="BK26" s="71" t="s">
        <v>10</v>
      </c>
      <c r="BL26" s="71" t="s">
        <v>11</v>
      </c>
      <c r="BM26" s="71" t="s">
        <v>12</v>
      </c>
      <c r="BN26" s="71" t="s">
        <v>13</v>
      </c>
      <c r="BO26" s="23"/>
      <c r="BQ26" s="71" t="s">
        <v>10</v>
      </c>
      <c r="BR26" s="71" t="s">
        <v>11</v>
      </c>
      <c r="BS26" s="71" t="s">
        <v>12</v>
      </c>
      <c r="BT26" s="71" t="s">
        <v>13</v>
      </c>
      <c r="BU26" s="23"/>
      <c r="BW26" s="71" t="s">
        <v>10</v>
      </c>
      <c r="BX26" s="71" t="s">
        <v>11</v>
      </c>
      <c r="BY26" s="71" t="s">
        <v>12</v>
      </c>
      <c r="BZ26" s="71" t="s">
        <v>13</v>
      </c>
      <c r="CA26" s="23"/>
    </row>
    <row r="27" spans="1:79" ht="3.75" customHeight="1">
      <c r="X27" s="4">
        <v>-18</v>
      </c>
      <c r="AD27" s="4">
        <v>-18</v>
      </c>
      <c r="AJ27" s="4">
        <v>-18</v>
      </c>
      <c r="AP27" s="4">
        <v>-18</v>
      </c>
      <c r="AV27" s="4">
        <v>-18</v>
      </c>
      <c r="AW27" s="12"/>
      <c r="BB27" s="4">
        <v>-18</v>
      </c>
      <c r="BC27" s="12"/>
      <c r="BH27" s="4">
        <v>-18</v>
      </c>
      <c r="BI27" s="12"/>
      <c r="BN27" s="4">
        <v>-18</v>
      </c>
      <c r="BO27" s="12"/>
      <c r="BT27" s="4">
        <v>-18</v>
      </c>
      <c r="BU27" s="12"/>
      <c r="BZ27" s="4">
        <v>-18</v>
      </c>
      <c r="CA27" s="12"/>
    </row>
    <row r="28" spans="1:79">
      <c r="A28" s="4" t="s">
        <v>16</v>
      </c>
      <c r="C28" s="14">
        <v>540</v>
      </c>
      <c r="D28" s="14">
        <v>500</v>
      </c>
      <c r="E28" s="14">
        <v>500</v>
      </c>
      <c r="F28" s="14">
        <v>500</v>
      </c>
      <c r="G28" s="19"/>
      <c r="H28" s="16"/>
      <c r="I28" s="14">
        <v>500</v>
      </c>
      <c r="J28" s="14">
        <v>500</v>
      </c>
      <c r="K28" s="14">
        <v>500</v>
      </c>
      <c r="L28" s="14">
        <v>500</v>
      </c>
      <c r="O28" s="14">
        <v>500</v>
      </c>
      <c r="P28" s="14">
        <v>500</v>
      </c>
      <c r="Q28" s="14">
        <v>500</v>
      </c>
      <c r="R28" s="14">
        <v>500</v>
      </c>
      <c r="U28" s="14">
        <v>500</v>
      </c>
      <c r="V28" s="14">
        <v>500</v>
      </c>
      <c r="W28" s="14">
        <v>490</v>
      </c>
      <c r="X28" s="14">
        <v>490</v>
      </c>
      <c r="AA28" s="14">
        <v>500</v>
      </c>
      <c r="AB28" s="14">
        <v>500</v>
      </c>
      <c r="AC28" s="14">
        <v>490</v>
      </c>
      <c r="AD28" s="14">
        <v>490</v>
      </c>
      <c r="AG28" s="14">
        <v>490</v>
      </c>
      <c r="AH28" s="14">
        <v>490</v>
      </c>
      <c r="AI28" s="14">
        <v>490</v>
      </c>
      <c r="AJ28" s="14">
        <v>490</v>
      </c>
      <c r="AM28" s="14">
        <v>490</v>
      </c>
      <c r="AN28" s="14">
        <v>470</v>
      </c>
      <c r="AO28" s="14">
        <v>470</v>
      </c>
      <c r="AP28" s="14">
        <v>470</v>
      </c>
      <c r="AS28" s="14">
        <v>471</v>
      </c>
      <c r="AT28" s="14">
        <v>473</v>
      </c>
      <c r="AU28" s="14">
        <v>473</v>
      </c>
      <c r="AV28" s="14">
        <v>473</v>
      </c>
      <c r="AW28" s="12"/>
      <c r="AY28" s="14">
        <v>473</v>
      </c>
      <c r="AZ28" s="14">
        <v>474</v>
      </c>
      <c r="BA28" s="14">
        <v>474</v>
      </c>
      <c r="BB28" s="14">
        <v>474</v>
      </c>
      <c r="BC28" s="12"/>
      <c r="BE28" s="14">
        <v>474</v>
      </c>
      <c r="BF28" s="14">
        <v>474</v>
      </c>
      <c r="BG28" s="14">
        <v>474</v>
      </c>
      <c r="BH28" s="14">
        <v>474</v>
      </c>
      <c r="BI28" s="12"/>
      <c r="BK28" s="14">
        <v>474</v>
      </c>
      <c r="BL28" s="14">
        <v>475</v>
      </c>
      <c r="BM28" s="14">
        <v>475</v>
      </c>
      <c r="BN28" s="14">
        <v>475</v>
      </c>
      <c r="BO28" s="12"/>
      <c r="BQ28" s="14">
        <v>475</v>
      </c>
      <c r="BR28" s="14">
        <v>475</v>
      </c>
      <c r="BS28" s="14">
        <v>475</v>
      </c>
      <c r="BT28" s="14">
        <v>475</v>
      </c>
      <c r="BU28" s="12"/>
      <c r="BW28" s="14">
        <v>478</v>
      </c>
      <c r="BX28" s="14">
        <v>478</v>
      </c>
      <c r="BY28" s="14"/>
      <c r="BZ28" s="14"/>
      <c r="CA28" s="12"/>
    </row>
    <row r="29" spans="1:79">
      <c r="A29" s="4" t="s">
        <v>71</v>
      </c>
      <c r="C29" s="14">
        <f>'Balance Sheet'!C21</f>
        <v>6397</v>
      </c>
      <c r="D29" s="14">
        <f>'Balance Sheet'!D21</f>
        <v>3894</v>
      </c>
      <c r="E29" s="14">
        <f>'Balance Sheet'!E21</f>
        <v>3790</v>
      </c>
      <c r="F29" s="14">
        <f>'Balance Sheet'!F21</f>
        <v>3762</v>
      </c>
      <c r="G29" s="19"/>
      <c r="H29" s="16"/>
      <c r="I29" s="14">
        <f>'Balance Sheet'!H21</f>
        <v>3741</v>
      </c>
      <c r="J29" s="14">
        <f>'Balance Sheet'!I21</f>
        <v>3554</v>
      </c>
      <c r="K29" s="14">
        <f>'Balance Sheet'!J21</f>
        <v>3547</v>
      </c>
      <c r="L29" s="14">
        <f>'Balance Sheet'!K21</f>
        <v>2898</v>
      </c>
      <c r="O29" s="14">
        <v>2880</v>
      </c>
      <c r="P29" s="14">
        <v>2787</v>
      </c>
      <c r="Q29" s="14">
        <v>2815</v>
      </c>
      <c r="R29" s="14">
        <v>2831</v>
      </c>
      <c r="U29" s="14">
        <v>2837</v>
      </c>
      <c r="V29" s="14">
        <v>2689</v>
      </c>
      <c r="W29" s="14">
        <v>2804</v>
      </c>
      <c r="X29" s="14">
        <v>2859</v>
      </c>
      <c r="AA29" s="14">
        <v>2721</v>
      </c>
      <c r="AB29" s="14">
        <v>2467</v>
      </c>
      <c r="AC29" s="14">
        <v>2603</v>
      </c>
      <c r="AD29" s="14">
        <v>2678</v>
      </c>
      <c r="AG29" s="14">
        <v>2742</v>
      </c>
      <c r="AH29" s="14">
        <v>2703</v>
      </c>
      <c r="AI29" s="14">
        <v>2573</v>
      </c>
      <c r="AJ29" s="14">
        <v>2672</v>
      </c>
      <c r="AM29" s="14">
        <v>2711</v>
      </c>
      <c r="AN29" s="14">
        <v>2526</v>
      </c>
      <c r="AO29" s="14">
        <v>2663</v>
      </c>
      <c r="AP29" s="14">
        <v>2787</v>
      </c>
      <c r="AS29" s="14">
        <v>2887</v>
      </c>
      <c r="AT29" s="14">
        <v>2847</v>
      </c>
      <c r="AU29" s="14">
        <v>2960</v>
      </c>
      <c r="AV29" s="14">
        <v>3246</v>
      </c>
      <c r="AW29" s="12"/>
      <c r="AY29" s="14">
        <v>3337</v>
      </c>
      <c r="AZ29" s="14">
        <v>3355</v>
      </c>
      <c r="BA29" s="14">
        <v>3598</v>
      </c>
      <c r="BB29" s="14">
        <v>3427</v>
      </c>
      <c r="BC29" s="12"/>
      <c r="BE29" s="14">
        <v>3451.1</v>
      </c>
      <c r="BF29" s="14">
        <v>3508</v>
      </c>
      <c r="BG29" s="14">
        <v>3538</v>
      </c>
      <c r="BH29" s="14">
        <v>3719</v>
      </c>
      <c r="BI29" s="12"/>
      <c r="BK29" s="14">
        <v>3810</v>
      </c>
      <c r="BL29" s="14">
        <v>4030</v>
      </c>
      <c r="BM29" s="14">
        <v>3992</v>
      </c>
      <c r="BN29" s="14">
        <v>4105</v>
      </c>
      <c r="BO29" s="12"/>
      <c r="BQ29" s="14">
        <v>3989</v>
      </c>
      <c r="BR29" s="14">
        <v>3983</v>
      </c>
      <c r="BS29" s="14">
        <v>4000</v>
      </c>
      <c r="BT29" s="14">
        <v>4060</v>
      </c>
      <c r="BU29" s="12"/>
      <c r="BW29" s="14">
        <v>4116</v>
      </c>
      <c r="BX29" s="14">
        <v>5552</v>
      </c>
      <c r="BY29" s="14"/>
      <c r="BZ29" s="14"/>
      <c r="CA29" s="12"/>
    </row>
    <row r="30" spans="1:79">
      <c r="A30" s="4" t="s">
        <v>17</v>
      </c>
      <c r="C30" s="14">
        <f>'Balance Sheet'!C18</f>
        <v>9424</v>
      </c>
      <c r="D30" s="14">
        <f>'Balance Sheet'!D18</f>
        <v>6907</v>
      </c>
      <c r="E30" s="14">
        <f>'Balance Sheet'!E18</f>
        <v>6714</v>
      </c>
      <c r="F30" s="14">
        <f>'Balance Sheet'!F18</f>
        <v>6446</v>
      </c>
      <c r="G30" s="19"/>
      <c r="H30" s="16"/>
      <c r="I30" s="14">
        <f>'Balance Sheet'!H18</f>
        <v>6246</v>
      </c>
      <c r="J30" s="14">
        <f>'Balance Sheet'!I18</f>
        <v>5992</v>
      </c>
      <c r="K30" s="14">
        <f>'Balance Sheet'!J18</f>
        <v>5995</v>
      </c>
      <c r="L30" s="14">
        <f>'Balance Sheet'!K18</f>
        <v>5034</v>
      </c>
      <c r="O30" s="14">
        <v>4941</v>
      </c>
      <c r="P30" s="14">
        <v>4765</v>
      </c>
      <c r="Q30" s="14">
        <v>4686</v>
      </c>
      <c r="R30" s="14">
        <v>4663</v>
      </c>
      <c r="U30" s="14">
        <v>4746</v>
      </c>
      <c r="V30" s="14">
        <v>6273</v>
      </c>
      <c r="W30" s="14">
        <v>6093</v>
      </c>
      <c r="X30" s="14">
        <v>6112</v>
      </c>
      <c r="AA30" s="14">
        <v>4623</v>
      </c>
      <c r="AB30" s="14">
        <v>6024</v>
      </c>
      <c r="AC30" s="14">
        <v>5856</v>
      </c>
      <c r="AD30" s="14">
        <v>5874</v>
      </c>
      <c r="AG30" s="14">
        <v>5927</v>
      </c>
      <c r="AH30" s="14">
        <v>6036</v>
      </c>
      <c r="AI30" s="14">
        <v>6107</v>
      </c>
      <c r="AJ30" s="14">
        <v>6177</v>
      </c>
      <c r="AM30" s="14">
        <v>6457</v>
      </c>
      <c r="AN30" s="14">
        <v>6916</v>
      </c>
      <c r="AO30" s="14">
        <v>6890</v>
      </c>
      <c r="AP30" s="14">
        <v>7350</v>
      </c>
      <c r="AS30" s="14">
        <v>7990</v>
      </c>
      <c r="AT30" s="14">
        <v>8588</v>
      </c>
      <c r="AU30" s="14">
        <v>9161</v>
      </c>
      <c r="AV30" s="14">
        <v>9099</v>
      </c>
      <c r="AW30" s="12"/>
      <c r="AY30" s="14">
        <v>9655</v>
      </c>
      <c r="AZ30" s="14">
        <v>10231</v>
      </c>
      <c r="BA30" s="14">
        <v>10309</v>
      </c>
      <c r="BB30" s="14">
        <v>9935</v>
      </c>
      <c r="BC30" s="12"/>
      <c r="BE30" s="14">
        <v>9734.9</v>
      </c>
      <c r="BF30" s="14">
        <v>9889</v>
      </c>
      <c r="BG30" s="14">
        <v>10093</v>
      </c>
      <c r="BH30" s="14">
        <v>10124</v>
      </c>
      <c r="BI30" s="12"/>
      <c r="BK30" s="14">
        <v>11161</v>
      </c>
      <c r="BL30" s="14">
        <v>12134</v>
      </c>
      <c r="BM30" s="14">
        <v>12353</v>
      </c>
      <c r="BN30" s="14">
        <v>12556</v>
      </c>
      <c r="BO30" s="12"/>
      <c r="BQ30" s="14">
        <v>13660</v>
      </c>
      <c r="BR30" s="14">
        <v>13530</v>
      </c>
      <c r="BS30" s="14">
        <v>13607</v>
      </c>
      <c r="BT30" s="14">
        <v>13439</v>
      </c>
      <c r="BU30" s="12"/>
      <c r="BW30" s="14">
        <v>13771</v>
      </c>
      <c r="BX30" s="14">
        <v>13385</v>
      </c>
      <c r="BY30" s="14"/>
      <c r="BZ30" s="14"/>
      <c r="CA30" s="12"/>
    </row>
    <row r="31" spans="1:79">
      <c r="A31" s="4" t="s">
        <v>191</v>
      </c>
      <c r="C31" s="14">
        <v>2277</v>
      </c>
      <c r="D31" s="14">
        <v>-221</v>
      </c>
      <c r="E31" s="14">
        <v>-162</v>
      </c>
      <c r="F31" s="14">
        <v>71</v>
      </c>
      <c r="G31" s="19"/>
      <c r="H31" s="16"/>
      <c r="I31" s="14">
        <v>7</v>
      </c>
      <c r="J31" s="14">
        <v>-30</v>
      </c>
      <c r="K31" s="14">
        <v>109</v>
      </c>
      <c r="L31" s="14">
        <v>407</v>
      </c>
      <c r="O31" s="14">
        <v>321</v>
      </c>
      <c r="P31" s="14">
        <v>157</v>
      </c>
      <c r="Q31" s="14">
        <v>236</v>
      </c>
      <c r="R31" s="14">
        <v>409</v>
      </c>
      <c r="U31" s="14">
        <v>217</v>
      </c>
      <c r="V31" s="14">
        <v>-932</v>
      </c>
      <c r="W31" s="14">
        <v>-638</v>
      </c>
      <c r="X31" s="14">
        <v>-333</v>
      </c>
      <c r="AA31" s="14">
        <v>347</v>
      </c>
      <c r="AB31" s="14">
        <v>-778</v>
      </c>
      <c r="AC31" s="14">
        <v>-465</v>
      </c>
      <c r="AD31" s="14">
        <v>-145</v>
      </c>
      <c r="AG31" s="14">
        <v>-337</v>
      </c>
      <c r="AH31" s="14">
        <v>-559</v>
      </c>
      <c r="AI31" s="14">
        <v>-858</v>
      </c>
      <c r="AJ31" s="14">
        <v>-764</v>
      </c>
      <c r="AM31" s="14">
        <v>-1176</v>
      </c>
      <c r="AN31" s="14">
        <v>-1221</v>
      </c>
      <c r="AO31" s="14">
        <v>-1168</v>
      </c>
      <c r="AP31" s="14">
        <v>-1023</v>
      </c>
      <c r="AS31" s="14">
        <v>-1987</v>
      </c>
      <c r="AT31" s="14">
        <v>-2319</v>
      </c>
      <c r="AU31" s="14">
        <v>-2306</v>
      </c>
      <c r="AV31" s="14">
        <v>-1995</v>
      </c>
      <c r="AW31" s="12"/>
      <c r="AY31" s="14">
        <v>-2215</v>
      </c>
      <c r="AZ31" s="14">
        <v>-2825</v>
      </c>
      <c r="BA31" s="14">
        <v>-2821</v>
      </c>
      <c r="BB31" s="14">
        <v>-2260</v>
      </c>
      <c r="BC31" s="12"/>
      <c r="BE31" s="14">
        <v>-2283.3000000000002</v>
      </c>
      <c r="BF31" s="14">
        <v>-2587</v>
      </c>
      <c r="BG31" s="14">
        <v>-2681</v>
      </c>
      <c r="BH31" s="14">
        <v>-2725</v>
      </c>
      <c r="BI31" s="12"/>
      <c r="BK31" s="14">
        <v>-3394</v>
      </c>
      <c r="BL31" s="14">
        <v>-3790</v>
      </c>
      <c r="BM31" s="14">
        <v>-4144</v>
      </c>
      <c r="BN31" s="14">
        <v>-4105</v>
      </c>
      <c r="BO31" s="12"/>
      <c r="BQ31" s="14">
        <v>-4821</v>
      </c>
      <c r="BR31" s="14">
        <v>-4940</v>
      </c>
      <c r="BS31" s="14">
        <v>-4771</v>
      </c>
      <c r="BT31" s="14">
        <f>-4429</f>
        <v>-4429</v>
      </c>
      <c r="BU31" s="12"/>
      <c r="BW31" s="14">
        <v>-4491</v>
      </c>
      <c r="BX31" s="14">
        <v>-2692</v>
      </c>
      <c r="BY31" s="14"/>
      <c r="BZ31" s="14"/>
      <c r="CA31" s="12"/>
    </row>
    <row r="32" spans="1:79">
      <c r="A32" s="4" t="s">
        <v>18</v>
      </c>
      <c r="C32" s="14">
        <f>'Segment Data'!C68</f>
        <v>4376</v>
      </c>
      <c r="D32" s="14">
        <f>'Segment Data'!D68</f>
        <v>4360</v>
      </c>
      <c r="E32" s="14">
        <f>'Segment Data'!E68</f>
        <v>4180</v>
      </c>
      <c r="F32" s="14">
        <f>'Segment Data'!F68</f>
        <v>3916</v>
      </c>
      <c r="G32" s="19"/>
      <c r="H32" s="16"/>
      <c r="I32" s="14">
        <f>'Segment Data'!I68</f>
        <v>3944</v>
      </c>
      <c r="J32" s="14">
        <f>'Segment Data'!J68</f>
        <v>3777</v>
      </c>
      <c r="K32" s="14">
        <f>'Segment Data'!K68</f>
        <v>3616</v>
      </c>
      <c r="L32" s="14">
        <f>'Segment Data'!L68</f>
        <v>2626</v>
      </c>
      <c r="O32" s="14">
        <v>2688</v>
      </c>
      <c r="P32" s="14">
        <v>2759</v>
      </c>
      <c r="Q32" s="14">
        <v>2715</v>
      </c>
      <c r="R32" s="14">
        <v>2549</v>
      </c>
      <c r="U32" s="14">
        <v>2768</v>
      </c>
      <c r="V32" s="14">
        <v>3771</v>
      </c>
      <c r="W32" s="14">
        <v>3589</v>
      </c>
      <c r="X32" s="14">
        <v>3332</v>
      </c>
      <c r="AA32" s="14">
        <v>2436</v>
      </c>
      <c r="AB32" s="14">
        <v>3312</v>
      </c>
      <c r="AC32" s="14">
        <v>3139</v>
      </c>
      <c r="AD32" s="14">
        <v>2900</v>
      </c>
      <c r="AG32" s="14">
        <v>3137</v>
      </c>
      <c r="AH32" s="14">
        <v>3321</v>
      </c>
      <c r="AI32" s="14">
        <v>3494</v>
      </c>
      <c r="AJ32" s="14">
        <v>3499</v>
      </c>
      <c r="AM32" s="14">
        <v>3951</v>
      </c>
      <c r="AN32" s="14">
        <v>3818</v>
      </c>
      <c r="AO32" s="14">
        <v>3845</v>
      </c>
      <c r="AP32" s="14">
        <v>3829</v>
      </c>
      <c r="AS32" s="14">
        <v>4894</v>
      </c>
      <c r="AT32" s="14">
        <v>5191</v>
      </c>
      <c r="AU32" s="14">
        <v>5295</v>
      </c>
      <c r="AV32" s="14">
        <v>5005</v>
      </c>
      <c r="AW32" s="12"/>
      <c r="AY32" s="14">
        <v>5591</v>
      </c>
      <c r="AZ32" s="14">
        <v>6222</v>
      </c>
      <c r="BA32" s="14">
        <v>6465</v>
      </c>
      <c r="BB32" s="14">
        <v>5725</v>
      </c>
      <c r="BC32" s="12"/>
      <c r="BE32" s="14">
        <v>5766.4</v>
      </c>
      <c r="BF32" s="14">
        <v>6129</v>
      </c>
      <c r="BG32" s="14">
        <v>6260</v>
      </c>
      <c r="BH32" s="14">
        <v>6465</v>
      </c>
      <c r="BI32" s="12"/>
      <c r="BK32" s="14">
        <v>7226</v>
      </c>
      <c r="BL32" s="14">
        <v>7843</v>
      </c>
      <c r="BM32" s="14">
        <v>8143</v>
      </c>
      <c r="BN32" s="14">
        <v>8218</v>
      </c>
      <c r="BO32" s="12"/>
      <c r="BQ32" s="14">
        <f>+'Segment Data'!BQ68</f>
        <v>8814</v>
      </c>
      <c r="BR32" s="14">
        <f>+'Segment Data'!BR68</f>
        <v>8928</v>
      </c>
      <c r="BS32" s="14">
        <f>+'Segment Data'!BS68</f>
        <v>8777</v>
      </c>
      <c r="BT32" s="14">
        <f>+'Segment Data'!BT68</f>
        <v>8496</v>
      </c>
      <c r="BU32" s="12"/>
      <c r="BW32" s="14">
        <f>+'Segment Data'!BW68</f>
        <v>8661</v>
      </c>
      <c r="BX32" s="14">
        <v>8250</v>
      </c>
      <c r="BY32" s="14"/>
      <c r="BZ32" s="14"/>
      <c r="CA32" s="12"/>
    </row>
    <row r="33" spans="1:79">
      <c r="AW33" s="12"/>
      <c r="BC33" s="12"/>
      <c r="BI33" s="12"/>
      <c r="BO33" s="12"/>
      <c r="BU33" s="12"/>
      <c r="CA33" s="12"/>
    </row>
    <row r="34" spans="1:79">
      <c r="A34" s="5" t="s">
        <v>69</v>
      </c>
      <c r="B34" s="6"/>
      <c r="C34" s="7" t="s">
        <v>10</v>
      </c>
      <c r="D34" s="7" t="s">
        <v>11</v>
      </c>
      <c r="E34" s="7" t="s">
        <v>12</v>
      </c>
      <c r="F34" s="7" t="s">
        <v>13</v>
      </c>
      <c r="G34" s="8" t="s">
        <v>14</v>
      </c>
      <c r="H34" s="9"/>
      <c r="I34" s="7" t="s">
        <v>10</v>
      </c>
      <c r="J34" s="7" t="s">
        <v>11</v>
      </c>
      <c r="K34" s="7" t="s">
        <v>12</v>
      </c>
      <c r="L34" s="7" t="s">
        <v>13</v>
      </c>
      <c r="M34" s="8" t="s">
        <v>14</v>
      </c>
      <c r="O34" s="7" t="s">
        <v>10</v>
      </c>
      <c r="P34" s="7" t="s">
        <v>11</v>
      </c>
      <c r="Q34" s="7" t="s">
        <v>12</v>
      </c>
      <c r="R34" s="7" t="s">
        <v>13</v>
      </c>
      <c r="S34" s="8" t="s">
        <v>14</v>
      </c>
      <c r="U34" s="7" t="s">
        <v>10</v>
      </c>
      <c r="V34" s="7" t="s">
        <v>11</v>
      </c>
      <c r="W34" s="7" t="s">
        <v>12</v>
      </c>
      <c r="X34" s="7" t="s">
        <v>13</v>
      </c>
      <c r="Y34" s="8" t="s">
        <v>14</v>
      </c>
      <c r="AA34" s="7" t="s">
        <v>10</v>
      </c>
      <c r="AB34" s="7" t="s">
        <v>11</v>
      </c>
      <c r="AC34" s="7" t="s">
        <v>12</v>
      </c>
      <c r="AD34" s="7" t="s">
        <v>13</v>
      </c>
      <c r="AE34" s="8" t="s">
        <v>14</v>
      </c>
      <c r="AG34" s="7" t="s">
        <v>10</v>
      </c>
      <c r="AH34" s="7" t="s">
        <v>11</v>
      </c>
      <c r="AI34" s="7" t="s">
        <v>12</v>
      </c>
      <c r="AJ34" s="7" t="s">
        <v>13</v>
      </c>
      <c r="AK34" s="8" t="s">
        <v>14</v>
      </c>
      <c r="AM34" s="71" t="s">
        <v>10</v>
      </c>
      <c r="AN34" s="71" t="s">
        <v>11</v>
      </c>
      <c r="AO34" s="71" t="s">
        <v>12</v>
      </c>
      <c r="AP34" s="71" t="s">
        <v>13</v>
      </c>
      <c r="AQ34" s="8" t="s">
        <v>14</v>
      </c>
      <c r="AS34" s="71" t="s">
        <v>10</v>
      </c>
      <c r="AT34" s="71" t="s">
        <v>11</v>
      </c>
      <c r="AU34" s="71" t="s">
        <v>12</v>
      </c>
      <c r="AV34" s="71" t="s">
        <v>13</v>
      </c>
      <c r="AW34" s="8" t="s">
        <v>14</v>
      </c>
      <c r="AY34" s="71" t="s">
        <v>10</v>
      </c>
      <c r="AZ34" s="71" t="s">
        <v>11</v>
      </c>
      <c r="BA34" s="71" t="s">
        <v>12</v>
      </c>
      <c r="BB34" s="71" t="s">
        <v>13</v>
      </c>
      <c r="BC34" s="8" t="s">
        <v>14</v>
      </c>
      <c r="BE34" s="71" t="s">
        <v>10</v>
      </c>
      <c r="BF34" s="71" t="s">
        <v>11</v>
      </c>
      <c r="BG34" s="71" t="s">
        <v>12</v>
      </c>
      <c r="BH34" s="71" t="s">
        <v>13</v>
      </c>
      <c r="BI34" s="8" t="s">
        <v>14</v>
      </c>
      <c r="BK34" s="71" t="s">
        <v>10</v>
      </c>
      <c r="BL34" s="71" t="s">
        <v>11</v>
      </c>
      <c r="BM34" s="71" t="s">
        <v>12</v>
      </c>
      <c r="BN34" s="71" t="s">
        <v>13</v>
      </c>
      <c r="BO34" s="8" t="s">
        <v>14</v>
      </c>
      <c r="BQ34" s="71" t="s">
        <v>10</v>
      </c>
      <c r="BR34" s="71" t="s">
        <v>11</v>
      </c>
      <c r="BS34" s="71" t="s">
        <v>12</v>
      </c>
      <c r="BT34" s="71" t="s">
        <v>13</v>
      </c>
      <c r="BU34" s="8" t="s">
        <v>14</v>
      </c>
      <c r="BW34" s="71" t="s">
        <v>10</v>
      </c>
      <c r="BX34" s="71" t="s">
        <v>11</v>
      </c>
      <c r="BY34" s="71" t="s">
        <v>12</v>
      </c>
      <c r="BZ34" s="71" t="s">
        <v>13</v>
      </c>
      <c r="CA34" s="8" t="s">
        <v>14</v>
      </c>
    </row>
    <row r="35" spans="1:79" ht="3.75" customHeight="1">
      <c r="G35" s="5"/>
      <c r="M35" s="5"/>
      <c r="S35" s="5"/>
      <c r="V35" s="45"/>
      <c r="W35" s="45"/>
      <c r="X35" s="45"/>
      <c r="Y35" s="5"/>
      <c r="AB35" s="45"/>
      <c r="AC35" s="45"/>
      <c r="AD35" s="45"/>
      <c r="AE35" s="5"/>
      <c r="AH35" s="45"/>
      <c r="AI35" s="45"/>
      <c r="AJ35" s="45"/>
      <c r="AK35" s="5"/>
      <c r="AN35" s="45"/>
      <c r="AO35" s="45"/>
      <c r="AP35" s="45"/>
      <c r="AQ35" s="5"/>
      <c r="AT35" s="45"/>
      <c r="AU35" s="45"/>
      <c r="AV35" s="45"/>
      <c r="AW35" s="5"/>
      <c r="AZ35" s="45"/>
      <c r="BA35" s="45"/>
      <c r="BB35" s="45"/>
      <c r="BC35" s="5"/>
      <c r="BF35" s="45"/>
      <c r="BG35" s="45"/>
      <c r="BH35" s="45"/>
      <c r="BI35" s="5"/>
      <c r="BL35" s="45"/>
      <c r="BM35" s="45"/>
      <c r="BN35" s="45"/>
      <c r="BO35" s="5"/>
      <c r="BR35" s="45"/>
      <c r="BS35" s="45"/>
      <c r="BT35" s="45"/>
      <c r="BU35" s="5"/>
      <c r="BX35" s="45"/>
      <c r="BY35" s="45"/>
      <c r="BZ35" s="45"/>
      <c r="CA35" s="5"/>
    </row>
    <row r="36" spans="1:79">
      <c r="A36" s="4" t="s">
        <v>137</v>
      </c>
      <c r="C36" s="14">
        <v>-25</v>
      </c>
      <c r="D36" s="14">
        <v>107</v>
      </c>
      <c r="E36" s="14">
        <v>16</v>
      </c>
      <c r="F36" s="14">
        <v>348</v>
      </c>
      <c r="G36" s="15">
        <f>SUM(C36:F36)</f>
        <v>446</v>
      </c>
      <c r="H36" s="16"/>
      <c r="I36" s="14">
        <v>-71</v>
      </c>
      <c r="J36" s="14">
        <v>60</v>
      </c>
      <c r="K36" s="14">
        <v>141</v>
      </c>
      <c r="L36" s="14">
        <v>224</v>
      </c>
      <c r="M36" s="15">
        <f>SUM(I36:L36)</f>
        <v>354</v>
      </c>
      <c r="O36" s="14">
        <v>-52</v>
      </c>
      <c r="P36" s="14">
        <v>-50</v>
      </c>
      <c r="Q36" s="14">
        <v>116</v>
      </c>
      <c r="R36" s="14">
        <v>221</v>
      </c>
      <c r="S36" s="15">
        <f>SUM(O36:R36)</f>
        <v>235</v>
      </c>
      <c r="U36" s="14">
        <v>-124</v>
      </c>
      <c r="V36" s="14">
        <v>-38</v>
      </c>
      <c r="W36" s="14">
        <v>131</v>
      </c>
      <c r="X36" s="14">
        <v>301</v>
      </c>
      <c r="Y36" s="15">
        <f>SUM(U36:X36)</f>
        <v>270</v>
      </c>
      <c r="AA36" s="14">
        <v>-119</v>
      </c>
      <c r="AB36" s="14">
        <v>-20</v>
      </c>
      <c r="AC36" s="14">
        <v>149</v>
      </c>
      <c r="AD36" s="14">
        <v>275</v>
      </c>
      <c r="AE36" s="15">
        <f>SUM(AA36:AD36)</f>
        <v>285</v>
      </c>
      <c r="AG36" s="14">
        <v>-188</v>
      </c>
      <c r="AH36" s="14">
        <v>20</v>
      </c>
      <c r="AI36" s="14">
        <v>55</v>
      </c>
      <c r="AJ36" s="14">
        <v>154</v>
      </c>
      <c r="AK36" s="15">
        <f>SUM(AG36:AJ36)</f>
        <v>41</v>
      </c>
      <c r="AM36" s="14">
        <v>-216</v>
      </c>
      <c r="AN36" s="14">
        <v>79</v>
      </c>
      <c r="AO36" s="14">
        <v>186</v>
      </c>
      <c r="AP36" s="14">
        <v>216</v>
      </c>
      <c r="AQ36" s="15">
        <f>SUM(AM36:AP36)</f>
        <v>265</v>
      </c>
      <c r="AS36" s="14">
        <v>50</v>
      </c>
      <c r="AT36" s="14">
        <v>140</v>
      </c>
      <c r="AU36" s="14">
        <v>425</v>
      </c>
      <c r="AV36" s="14">
        <v>547</v>
      </c>
      <c r="AW36" s="15">
        <f>SUM(AS36:AV36)</f>
        <v>1162</v>
      </c>
      <c r="AY36" s="14">
        <v>-250</v>
      </c>
      <c r="AZ36" s="14">
        <v>-23</v>
      </c>
      <c r="BA36" s="14">
        <v>179</v>
      </c>
      <c r="BB36" s="58">
        <v>857</v>
      </c>
      <c r="BC36" s="15">
        <f>SUM(AY36:BB36)</f>
        <v>763</v>
      </c>
      <c r="BE36" s="58">
        <v>167</v>
      </c>
      <c r="BF36" s="14">
        <v>21</v>
      </c>
      <c r="BG36" s="58">
        <v>203</v>
      </c>
      <c r="BH36" s="58">
        <v>191</v>
      </c>
      <c r="BI36" s="15">
        <f>SUM(BE36:BH36)</f>
        <v>582</v>
      </c>
      <c r="BK36" s="58">
        <v>-221</v>
      </c>
      <c r="BL36" s="58">
        <v>-263</v>
      </c>
      <c r="BM36" s="58">
        <v>-150</v>
      </c>
      <c r="BN36" s="58">
        <v>260</v>
      </c>
      <c r="BO36" s="15">
        <f>SUM(BK36:BN36)</f>
        <v>-374</v>
      </c>
      <c r="BQ36" s="58">
        <f>+Cashflow!BQ12</f>
        <v>-453</v>
      </c>
      <c r="BR36" s="58">
        <f>+Cashflow!BR12</f>
        <v>72</v>
      </c>
      <c r="BS36" s="58">
        <f>+Cashflow!BS12</f>
        <v>399</v>
      </c>
      <c r="BT36" s="58">
        <f>+Cashflow!BT12</f>
        <v>540</v>
      </c>
      <c r="BU36" s="15">
        <f>SUM(BQ36:BT36)</f>
        <v>558</v>
      </c>
      <c r="BW36" s="58">
        <f>+Cashflow!BW12</f>
        <v>27</v>
      </c>
      <c r="BX36" s="58">
        <f>+Cashflow!BX12</f>
        <v>66</v>
      </c>
      <c r="BY36" s="58">
        <f>+Cashflow!BY12</f>
        <v>0</v>
      </c>
      <c r="BZ36" s="58">
        <f>+Cashflow!BZ12</f>
        <v>0</v>
      </c>
      <c r="CA36" s="15">
        <f>SUM(BW36:BZ36)</f>
        <v>93</v>
      </c>
    </row>
    <row r="37" spans="1:79">
      <c r="A37" s="4" t="s">
        <v>138</v>
      </c>
      <c r="C37" s="14">
        <v>-57</v>
      </c>
      <c r="D37" s="14">
        <v>17</v>
      </c>
      <c r="E37" s="14">
        <v>-22</v>
      </c>
      <c r="F37" s="14">
        <v>-61</v>
      </c>
      <c r="G37" s="15">
        <f>SUM(C37:F37)</f>
        <v>-123</v>
      </c>
      <c r="H37" s="16"/>
      <c r="I37" s="14">
        <v>80</v>
      </c>
      <c r="J37" s="14">
        <v>-48</v>
      </c>
      <c r="K37" s="14">
        <v>32</v>
      </c>
      <c r="L37" s="14">
        <v>-7</v>
      </c>
      <c r="M37" s="15">
        <f>SUM(I37:L37)</f>
        <v>57</v>
      </c>
      <c r="O37" s="14">
        <v>-20</v>
      </c>
      <c r="P37" s="14">
        <v>-23</v>
      </c>
      <c r="Q37" s="14">
        <v>-29</v>
      </c>
      <c r="R37" s="14">
        <v>-44</v>
      </c>
      <c r="S37" s="15">
        <f>SUM(O37:R37)</f>
        <v>-116</v>
      </c>
      <c r="U37" s="14">
        <v>-41</v>
      </c>
      <c r="V37" s="14">
        <v>-52</v>
      </c>
      <c r="W37" s="14">
        <v>199</v>
      </c>
      <c r="X37" s="14">
        <v>29</v>
      </c>
      <c r="Y37" s="15">
        <f>SUM(U37:X37)</f>
        <v>135</v>
      </c>
      <c r="AA37" s="14">
        <v>-39</v>
      </c>
      <c r="AB37" s="14">
        <v>-51</v>
      </c>
      <c r="AC37" s="14">
        <v>199</v>
      </c>
      <c r="AD37" s="14">
        <v>31</v>
      </c>
      <c r="AE37" s="15">
        <f>SUM(AA37:AD37)</f>
        <v>140</v>
      </c>
      <c r="AG37" s="14">
        <v>-28</v>
      </c>
      <c r="AH37" s="14">
        <v>-15</v>
      </c>
      <c r="AI37" s="14">
        <v>-56</v>
      </c>
      <c r="AJ37" s="14">
        <v>-6</v>
      </c>
      <c r="AK37" s="15">
        <f>SUM(AG37:AJ37)</f>
        <v>-105</v>
      </c>
      <c r="AM37" s="14">
        <v>-67</v>
      </c>
      <c r="AN37" s="14">
        <v>176</v>
      </c>
      <c r="AO37" s="14">
        <v>-46</v>
      </c>
      <c r="AP37" s="14">
        <v>-92</v>
      </c>
      <c r="AQ37" s="15">
        <f>SUM(AM37:AP37)</f>
        <v>-29</v>
      </c>
      <c r="AS37" s="14">
        <v>-89</v>
      </c>
      <c r="AT37" s="14">
        <v>-85</v>
      </c>
      <c r="AU37" s="14">
        <v>-84</v>
      </c>
      <c r="AV37" s="14">
        <v>-131</v>
      </c>
      <c r="AW37" s="15">
        <f>SUM(AS37:AV37)</f>
        <v>-389</v>
      </c>
      <c r="AY37" s="14">
        <v>187</v>
      </c>
      <c r="AZ37" s="14">
        <v>-154</v>
      </c>
      <c r="BA37" s="14">
        <v>-169</v>
      </c>
      <c r="BB37" s="58">
        <v>-304</v>
      </c>
      <c r="BC37" s="15">
        <f>SUM(AY37:BB37)</f>
        <v>-440</v>
      </c>
      <c r="BE37" s="58">
        <v>-166</v>
      </c>
      <c r="BF37" s="14">
        <v>-255</v>
      </c>
      <c r="BG37" s="58">
        <v>-247</v>
      </c>
      <c r="BH37" s="58">
        <v>-200</v>
      </c>
      <c r="BI37" s="15">
        <f>SUM(BE37:BH37)</f>
        <v>-868</v>
      </c>
      <c r="BK37" s="58">
        <v>-295</v>
      </c>
      <c r="BL37" s="58">
        <f>-159+6</f>
        <v>-153</v>
      </c>
      <c r="BM37" s="58">
        <v>-131</v>
      </c>
      <c r="BN37" s="58">
        <v>-144</v>
      </c>
      <c r="BO37" s="15">
        <f>SUM(BK37:BN37)</f>
        <v>-723</v>
      </c>
      <c r="BQ37" s="58">
        <f>+Cashflow!BQ15</f>
        <v>-93</v>
      </c>
      <c r="BR37" s="58">
        <f>+Cashflow!BR15</f>
        <v>-109</v>
      </c>
      <c r="BS37" s="58">
        <f>+Cashflow!BS15</f>
        <v>-100</v>
      </c>
      <c r="BT37" s="58">
        <f>+Cashflow!BT15</f>
        <v>-125</v>
      </c>
      <c r="BU37" s="15">
        <f>SUM(BQ37:BT37)</f>
        <v>-427</v>
      </c>
      <c r="BW37" s="58">
        <f>+Cashflow!BW15</f>
        <v>-88</v>
      </c>
      <c r="BX37" s="58">
        <f>+Cashflow!BX15</f>
        <v>-67</v>
      </c>
      <c r="BY37" s="58">
        <f>+Cashflow!BY15</f>
        <v>0</v>
      </c>
      <c r="BZ37" s="58">
        <f>+Cashflow!BZ15</f>
        <v>0</v>
      </c>
      <c r="CA37" s="15">
        <f>SUM(BW37:BZ37)</f>
        <v>-155</v>
      </c>
    </row>
    <row r="38" spans="1:79">
      <c r="AW38" s="12"/>
      <c r="BC38" s="12"/>
      <c r="BI38" s="12"/>
      <c r="BO38" s="12"/>
      <c r="BU38" s="12"/>
      <c r="CA38" s="12"/>
    </row>
    <row r="39" spans="1:79">
      <c r="A39" s="5" t="s">
        <v>19</v>
      </c>
      <c r="B39" s="6"/>
      <c r="C39" s="7" t="s">
        <v>10</v>
      </c>
      <c r="D39" s="7" t="s">
        <v>11</v>
      </c>
      <c r="E39" s="7" t="s">
        <v>12</v>
      </c>
      <c r="F39" s="7" t="s">
        <v>13</v>
      </c>
      <c r="G39" s="8" t="s">
        <v>14</v>
      </c>
      <c r="H39" s="9"/>
      <c r="I39" s="7" t="s">
        <v>10</v>
      </c>
      <c r="J39" s="7" t="s">
        <v>11</v>
      </c>
      <c r="K39" s="7" t="s">
        <v>12</v>
      </c>
      <c r="L39" s="7" t="s">
        <v>13</v>
      </c>
      <c r="M39" s="8" t="s">
        <v>14</v>
      </c>
      <c r="O39" s="7" t="s">
        <v>10</v>
      </c>
      <c r="P39" s="7" t="s">
        <v>11</v>
      </c>
      <c r="Q39" s="7" t="s">
        <v>12</v>
      </c>
      <c r="R39" s="7" t="s">
        <v>13</v>
      </c>
      <c r="S39" s="8" t="s">
        <v>14</v>
      </c>
      <c r="U39" s="7" t="s">
        <v>10</v>
      </c>
      <c r="V39" s="7" t="s">
        <v>11</v>
      </c>
      <c r="W39" s="7" t="s">
        <v>12</v>
      </c>
      <c r="X39" s="7" t="s">
        <v>13</v>
      </c>
      <c r="Y39" s="8" t="s">
        <v>14</v>
      </c>
      <c r="AA39" s="7" t="s">
        <v>10</v>
      </c>
      <c r="AB39" s="7" t="s">
        <v>11</v>
      </c>
      <c r="AC39" s="7" t="s">
        <v>12</v>
      </c>
      <c r="AD39" s="7" t="s">
        <v>13</v>
      </c>
      <c r="AE39" s="8" t="s">
        <v>14</v>
      </c>
      <c r="AG39" s="7" t="s">
        <v>10</v>
      </c>
      <c r="AH39" s="7" t="s">
        <v>11</v>
      </c>
      <c r="AI39" s="7" t="s">
        <v>12</v>
      </c>
      <c r="AJ39" s="7" t="s">
        <v>13</v>
      </c>
      <c r="AK39" s="8" t="s">
        <v>14</v>
      </c>
      <c r="AM39" s="71" t="s">
        <v>10</v>
      </c>
      <c r="AN39" s="71" t="s">
        <v>11</v>
      </c>
      <c r="AO39" s="71" t="s">
        <v>12</v>
      </c>
      <c r="AP39" s="71" t="s">
        <v>13</v>
      </c>
      <c r="AQ39" s="8" t="s">
        <v>14</v>
      </c>
      <c r="AS39" s="71" t="s">
        <v>10</v>
      </c>
      <c r="AT39" s="71" t="s">
        <v>11</v>
      </c>
      <c r="AU39" s="71" t="s">
        <v>12</v>
      </c>
      <c r="AV39" s="71" t="s">
        <v>13</v>
      </c>
      <c r="AW39" s="8" t="s">
        <v>14</v>
      </c>
      <c r="AY39" s="71" t="s">
        <v>10</v>
      </c>
      <c r="AZ39" s="71" t="s">
        <v>11</v>
      </c>
      <c r="BA39" s="71" t="s">
        <v>12</v>
      </c>
      <c r="BB39" s="71" t="s">
        <v>13</v>
      </c>
      <c r="BC39" s="8" t="s">
        <v>14</v>
      </c>
      <c r="BE39" s="71" t="s">
        <v>10</v>
      </c>
      <c r="BF39" s="71" t="s">
        <v>11</v>
      </c>
      <c r="BG39" s="71" t="s">
        <v>12</v>
      </c>
      <c r="BH39" s="71" t="s">
        <v>13</v>
      </c>
      <c r="BI39" s="8" t="s">
        <v>14</v>
      </c>
      <c r="BK39" s="71" t="s">
        <v>10</v>
      </c>
      <c r="BL39" s="71" t="s">
        <v>11</v>
      </c>
      <c r="BM39" s="71" t="s">
        <v>12</v>
      </c>
      <c r="BN39" s="71" t="s">
        <v>13</v>
      </c>
      <c r="BO39" s="8" t="s">
        <v>14</v>
      </c>
      <c r="BQ39" s="71" t="s">
        <v>10</v>
      </c>
      <c r="BR39" s="71" t="s">
        <v>11</v>
      </c>
      <c r="BS39" s="71" t="s">
        <v>12</v>
      </c>
      <c r="BT39" s="71" t="s">
        <v>13</v>
      </c>
      <c r="BU39" s="8" t="s">
        <v>14</v>
      </c>
      <c r="BW39" s="71" t="s">
        <v>10</v>
      </c>
      <c r="BX39" s="71" t="s">
        <v>11</v>
      </c>
      <c r="BY39" s="71" t="s">
        <v>12</v>
      </c>
      <c r="BZ39" s="71" t="s">
        <v>13</v>
      </c>
      <c r="CA39" s="8" t="s">
        <v>14</v>
      </c>
    </row>
    <row r="40" spans="1:79" ht="4.5" customHeight="1">
      <c r="AW40" s="12"/>
      <c r="BC40" s="12"/>
      <c r="BI40" s="12"/>
      <c r="BO40" s="12"/>
      <c r="BU40" s="12"/>
      <c r="CA40" s="12"/>
    </row>
    <row r="41" spans="1:79">
      <c r="A41" s="4" t="s">
        <v>20</v>
      </c>
      <c r="C41" s="27">
        <v>0.68</v>
      </c>
      <c r="D41" s="27">
        <v>0.56000000000000005</v>
      </c>
      <c r="E41" s="27">
        <v>0.56000000000000005</v>
      </c>
      <c r="F41" s="27">
        <v>0.57999999999999996</v>
      </c>
      <c r="G41" s="28"/>
      <c r="H41" s="29"/>
      <c r="I41" s="27">
        <v>0.6</v>
      </c>
      <c r="J41" s="27">
        <v>0.59</v>
      </c>
      <c r="K41" s="27">
        <v>0.59</v>
      </c>
      <c r="L41" s="27">
        <v>0.57999999999999996</v>
      </c>
      <c r="M41" s="28"/>
      <c r="O41" s="27">
        <v>0.57999999999999996</v>
      </c>
      <c r="P41" s="27">
        <v>0.57999999999999996</v>
      </c>
      <c r="Q41" s="27">
        <v>0.6</v>
      </c>
      <c r="R41" s="27">
        <v>0.61</v>
      </c>
      <c r="S41" s="28"/>
      <c r="U41" s="27">
        <v>0.6</v>
      </c>
      <c r="V41" s="27">
        <v>0.43</v>
      </c>
      <c r="W41" s="27">
        <v>0.46</v>
      </c>
      <c r="X41" s="27">
        <v>0.47</v>
      </c>
      <c r="Y41" s="28"/>
      <c r="AA41" s="27">
        <v>0.6</v>
      </c>
      <c r="AB41" s="27">
        <v>0.42</v>
      </c>
      <c r="AC41" s="27">
        <v>0.46</v>
      </c>
      <c r="AD41" s="27">
        <v>0.47</v>
      </c>
      <c r="AE41" s="28"/>
      <c r="AG41" s="27">
        <v>0.47</v>
      </c>
      <c r="AH41" s="27">
        <v>0.46</v>
      </c>
      <c r="AI41" s="27">
        <v>0.43</v>
      </c>
      <c r="AJ41" s="27">
        <v>0.44</v>
      </c>
      <c r="AK41" s="28"/>
      <c r="AM41" s="27">
        <v>0.43</v>
      </c>
      <c r="AN41" s="27">
        <v>0.38</v>
      </c>
      <c r="AO41" s="27">
        <v>0.39</v>
      </c>
      <c r="AP41" s="27">
        <v>0.38</v>
      </c>
      <c r="AQ41" s="28"/>
      <c r="AS41" s="27">
        <v>0.36</v>
      </c>
      <c r="AT41" s="27">
        <v>0.33</v>
      </c>
      <c r="AU41" s="27">
        <v>0.33</v>
      </c>
      <c r="AV41" s="27">
        <v>0.36</v>
      </c>
      <c r="AW41" s="28" t="s">
        <v>86</v>
      </c>
      <c r="AY41" s="27">
        <v>0.35</v>
      </c>
      <c r="AZ41" s="27">
        <v>0.33</v>
      </c>
      <c r="BA41" s="27">
        <v>0.35</v>
      </c>
      <c r="BB41" s="27">
        <v>0.35</v>
      </c>
      <c r="BC41" s="28" t="s">
        <v>86</v>
      </c>
      <c r="BE41" s="27">
        <v>0.36</v>
      </c>
      <c r="BF41" s="86">
        <v>0.36</v>
      </c>
      <c r="BG41" s="92">
        <v>0.35</v>
      </c>
      <c r="BH41" s="92">
        <v>0.37</v>
      </c>
      <c r="BI41" s="28" t="s">
        <v>86</v>
      </c>
      <c r="BK41" s="27">
        <v>0.34</v>
      </c>
      <c r="BL41" s="92">
        <v>0.33</v>
      </c>
      <c r="BM41" s="92">
        <v>0.32</v>
      </c>
      <c r="BN41" s="92">
        <v>0.33</v>
      </c>
      <c r="BO41" s="92"/>
      <c r="BQ41" s="27">
        <v>0.28999999999999998</v>
      </c>
      <c r="BR41" s="27">
        <v>0.28999999999999998</v>
      </c>
      <c r="BS41" s="92">
        <v>0.28999999999999998</v>
      </c>
      <c r="BT41" s="92">
        <v>0.3</v>
      </c>
      <c r="BU41" s="92"/>
      <c r="BW41" s="27">
        <v>0.3</v>
      </c>
      <c r="BX41" s="27">
        <v>0.41</v>
      </c>
      <c r="BY41" s="92"/>
      <c r="BZ41" s="92"/>
      <c r="CA41" s="92"/>
    </row>
    <row r="42" spans="1:79">
      <c r="A42" s="4" t="s">
        <v>21</v>
      </c>
      <c r="C42" s="4">
        <v>26980</v>
      </c>
      <c r="D42" s="4">
        <v>25000</v>
      </c>
      <c r="E42" s="4">
        <v>25000</v>
      </c>
      <c r="F42" s="4">
        <v>25000</v>
      </c>
      <c r="I42" s="4">
        <v>25000</v>
      </c>
      <c r="J42" s="4">
        <v>25000</v>
      </c>
      <c r="K42" s="4">
        <v>25000</v>
      </c>
      <c r="L42" s="4">
        <v>25000</v>
      </c>
      <c r="O42" s="4">
        <v>25000</v>
      </c>
      <c r="P42" s="4">
        <v>25000</v>
      </c>
      <c r="Q42" s="4">
        <v>25000</v>
      </c>
      <c r="R42" s="4">
        <v>25000</v>
      </c>
      <c r="U42" s="4">
        <v>25000</v>
      </c>
      <c r="V42" s="4">
        <v>25000</v>
      </c>
      <c r="W42" s="4">
        <v>24500</v>
      </c>
      <c r="X42" s="4">
        <v>24500</v>
      </c>
      <c r="AA42" s="4">
        <v>25000</v>
      </c>
      <c r="AB42" s="4">
        <v>25000</v>
      </c>
      <c r="AC42" s="4">
        <v>24500</v>
      </c>
      <c r="AD42" s="4">
        <v>24500</v>
      </c>
      <c r="AG42" s="4">
        <v>24500</v>
      </c>
      <c r="AH42" s="4">
        <v>24500</v>
      </c>
      <c r="AI42" s="4">
        <v>24500</v>
      </c>
      <c r="AJ42" s="4">
        <v>24500</v>
      </c>
      <c r="AM42" s="4">
        <v>24500</v>
      </c>
      <c r="AN42" s="4">
        <v>23500</v>
      </c>
      <c r="AO42" s="4">
        <v>23500</v>
      </c>
      <c r="AP42" s="4">
        <v>23500</v>
      </c>
      <c r="AS42" s="83">
        <v>23561</v>
      </c>
      <c r="AT42" s="83">
        <v>23638</v>
      </c>
      <c r="AU42" s="83">
        <v>23638</v>
      </c>
      <c r="AV42" s="83">
        <v>23638</v>
      </c>
      <c r="AW42" s="12"/>
      <c r="AY42" s="83">
        <v>23655</v>
      </c>
      <c r="AZ42" s="83">
        <v>23718</v>
      </c>
      <c r="BA42" s="83">
        <v>23718</v>
      </c>
      <c r="BB42" s="83">
        <v>23718</v>
      </c>
      <c r="BC42" s="12"/>
      <c r="BE42" s="83">
        <v>23718</v>
      </c>
      <c r="BF42" s="54">
        <v>23718</v>
      </c>
      <c r="BG42" s="54">
        <v>23718</v>
      </c>
      <c r="BH42" s="54">
        <f>23718</f>
        <v>23718</v>
      </c>
      <c r="BI42" s="12"/>
      <c r="BK42" s="83">
        <v>23722</v>
      </c>
      <c r="BL42" s="83">
        <v>23738</v>
      </c>
      <c r="BM42" s="54">
        <v>23738</v>
      </c>
      <c r="BN42" s="54">
        <v>23738</v>
      </c>
      <c r="BO42" s="12"/>
      <c r="BQ42" s="83">
        <f>+Valuation!BK8</f>
        <v>23737.978999999999</v>
      </c>
      <c r="BR42" s="83">
        <f>+Valuation!BL8</f>
        <v>23737.978999999999</v>
      </c>
      <c r="BS42" s="83">
        <f>+Valuation!BM8</f>
        <v>23737.978999999999</v>
      </c>
      <c r="BT42" s="83">
        <f>+Valuation!BN8</f>
        <v>23737.978999999999</v>
      </c>
      <c r="BU42" s="12"/>
      <c r="BW42" s="83">
        <f>+Valuation!BQ8</f>
        <v>23888</v>
      </c>
      <c r="BX42" s="83">
        <v>23888</v>
      </c>
      <c r="BY42" s="83"/>
      <c r="BZ42" s="83"/>
      <c r="CA42" s="12"/>
    </row>
    <row r="43" spans="1:79">
      <c r="A43" s="4" t="s">
        <v>25</v>
      </c>
      <c r="C43" s="30">
        <v>0</v>
      </c>
      <c r="D43" s="30">
        <v>3</v>
      </c>
      <c r="E43" s="30">
        <v>-1.9</v>
      </c>
      <c r="F43" s="30">
        <v>-2.4</v>
      </c>
      <c r="G43" s="31">
        <f>SUM(C43:F43)</f>
        <v>-1.2999999999999998</v>
      </c>
      <c r="H43" s="32"/>
      <c r="I43" s="30">
        <v>-1.3</v>
      </c>
      <c r="J43" s="30">
        <v>-0.9</v>
      </c>
      <c r="K43" s="30">
        <v>0</v>
      </c>
      <c r="L43" s="30">
        <v>-25.6</v>
      </c>
      <c r="M43" s="31">
        <f>SUM(I43:L43)</f>
        <v>-27.8</v>
      </c>
      <c r="O43" s="30">
        <v>-0.1</v>
      </c>
      <c r="P43" s="30">
        <v>0.9</v>
      </c>
      <c r="Q43" s="30">
        <v>1.3</v>
      </c>
      <c r="R43" s="30">
        <v>1.4</v>
      </c>
      <c r="S43" s="31">
        <f>SUM(O43:R43)</f>
        <v>3.5</v>
      </c>
      <c r="U43" s="30">
        <v>0.1</v>
      </c>
      <c r="V43" s="30">
        <v>1.8</v>
      </c>
      <c r="W43" s="30">
        <v>4.4000000000000004</v>
      </c>
      <c r="X43" s="30">
        <v>4.4000000000000004</v>
      </c>
      <c r="Y43" s="31">
        <f>SUM(U43:X43)</f>
        <v>10.700000000000001</v>
      </c>
      <c r="AA43" s="30">
        <v>0.7</v>
      </c>
      <c r="AB43" s="30">
        <v>-2.6</v>
      </c>
      <c r="AC43" s="30">
        <v>5.3</v>
      </c>
      <c r="AD43" s="30">
        <v>4.2</v>
      </c>
      <c r="AE43" s="31">
        <f>SUM(AA43:AD43)</f>
        <v>7.6</v>
      </c>
      <c r="AG43" s="30">
        <v>2.1</v>
      </c>
      <c r="AH43" s="30">
        <v>4.3</v>
      </c>
      <c r="AI43" s="30">
        <v>4.7</v>
      </c>
      <c r="AJ43" s="30">
        <v>3.6</v>
      </c>
      <c r="AK43" s="31">
        <f>SUM(AG43:AJ43)</f>
        <v>14.700000000000001</v>
      </c>
      <c r="AM43" s="30">
        <v>3.6</v>
      </c>
      <c r="AN43" s="30">
        <v>9.4</v>
      </c>
      <c r="AO43" s="30">
        <v>5.9</v>
      </c>
      <c r="AP43" s="30">
        <v>6</v>
      </c>
      <c r="AQ43" s="31">
        <f>SUM(AM43:AP43)</f>
        <v>24.9</v>
      </c>
      <c r="AS43" s="30">
        <v>5.0999999999999996</v>
      </c>
      <c r="AT43" s="30">
        <v>9.3000000000000007</v>
      </c>
      <c r="AU43" s="30">
        <v>6.9</v>
      </c>
      <c r="AV43" s="30">
        <v>12.9</v>
      </c>
      <c r="AW43" s="31">
        <f>SUM(AS43:AV43)</f>
        <v>34.200000000000003</v>
      </c>
      <c r="AY43" s="30">
        <v>5.8</v>
      </c>
      <c r="AZ43" s="30">
        <v>9.8000000000000007</v>
      </c>
      <c r="BA43" s="30">
        <v>5.6</v>
      </c>
      <c r="BB43" s="30">
        <v>-4.2</v>
      </c>
      <c r="BC43" s="31">
        <f>SUM(AY43:BB43)</f>
        <v>17.000000000000004</v>
      </c>
      <c r="BE43" s="82">
        <v>0.1</v>
      </c>
      <c r="BF43" s="88">
        <v>4</v>
      </c>
      <c r="BG43" s="88">
        <v>2.9</v>
      </c>
      <c r="BH43" s="82">
        <v>3.2</v>
      </c>
      <c r="BI43" s="31">
        <f>SUM(BE43:BH43)</f>
        <v>10.199999999999999</v>
      </c>
      <c r="BK43" s="82">
        <v>2.7</v>
      </c>
      <c r="BL43" s="82">
        <v>4.0999999999999996</v>
      </c>
      <c r="BM43" s="88">
        <v>3.3</v>
      </c>
      <c r="BN43" s="82">
        <v>1.2</v>
      </c>
      <c r="BO43" s="31">
        <f>SUM(BK43:BN43)</f>
        <v>11.299999999999999</v>
      </c>
      <c r="BQ43" s="82">
        <v>2.1</v>
      </c>
      <c r="BR43" s="82">
        <v>1.3</v>
      </c>
      <c r="BS43" s="82">
        <v>1.8</v>
      </c>
      <c r="BT43" s="82">
        <v>0.1</v>
      </c>
      <c r="BU43" s="31">
        <f>SUM(BQ43:BT43)</f>
        <v>5.3</v>
      </c>
      <c r="BW43" s="82">
        <v>1.3</v>
      </c>
      <c r="BX43" s="82">
        <v>60.6</v>
      </c>
      <c r="BY43" s="82"/>
      <c r="BZ43" s="82"/>
      <c r="CA43" s="31">
        <f>SUM(BW43:BZ43)</f>
        <v>61.9</v>
      </c>
    </row>
    <row r="44" spans="1:79">
      <c r="A44" s="4" t="s">
        <v>24</v>
      </c>
      <c r="C44" s="30">
        <v>0</v>
      </c>
      <c r="D44" s="30">
        <v>104</v>
      </c>
      <c r="E44" s="30">
        <v>0</v>
      </c>
      <c r="F44" s="30">
        <v>0</v>
      </c>
      <c r="G44" s="31">
        <f>SUM(C44:F44)</f>
        <v>104</v>
      </c>
      <c r="H44" s="32"/>
      <c r="I44" s="30">
        <v>0</v>
      </c>
      <c r="J44" s="30">
        <v>4</v>
      </c>
      <c r="K44" s="30">
        <v>0</v>
      </c>
      <c r="L44" s="30">
        <v>0</v>
      </c>
      <c r="M44" s="31">
        <f>SUM(I44:L44)</f>
        <v>4</v>
      </c>
      <c r="O44" s="30">
        <v>0</v>
      </c>
      <c r="P44" s="30">
        <v>4</v>
      </c>
      <c r="Q44" s="30">
        <v>0</v>
      </c>
      <c r="R44" s="30">
        <v>0</v>
      </c>
      <c r="S44" s="31">
        <f>SUM(O44:R44)</f>
        <v>4</v>
      </c>
      <c r="U44" s="30">
        <v>0</v>
      </c>
      <c r="V44" s="30">
        <v>8</v>
      </c>
      <c r="W44" s="30">
        <v>0</v>
      </c>
      <c r="X44" s="30">
        <v>0</v>
      </c>
      <c r="Y44" s="31">
        <f>SUM(U44:X44)</f>
        <v>8</v>
      </c>
      <c r="AA44" s="30">
        <v>0</v>
      </c>
      <c r="AB44" s="30">
        <v>8</v>
      </c>
      <c r="AC44" s="30">
        <v>0</v>
      </c>
      <c r="AD44" s="30">
        <v>0</v>
      </c>
      <c r="AE44" s="31">
        <f>SUM(AA44:AD44)</f>
        <v>8</v>
      </c>
      <c r="AG44" s="30">
        <v>0</v>
      </c>
      <c r="AH44" s="30">
        <v>8</v>
      </c>
      <c r="AI44" s="30">
        <v>0</v>
      </c>
      <c r="AJ44" s="30">
        <v>0</v>
      </c>
      <c r="AK44" s="31">
        <f>SUM(AG44:AJ44)</f>
        <v>8</v>
      </c>
      <c r="AM44" s="30">
        <v>0</v>
      </c>
      <c r="AN44" s="30">
        <v>12</v>
      </c>
      <c r="AO44" s="30">
        <v>0</v>
      </c>
      <c r="AP44" s="30">
        <v>0</v>
      </c>
      <c r="AQ44" s="31">
        <f>SUM(AM44:AP44)</f>
        <v>12</v>
      </c>
      <c r="AS44" s="30">
        <v>0</v>
      </c>
      <c r="AT44" s="30">
        <v>10</v>
      </c>
      <c r="AU44" s="30">
        <v>0</v>
      </c>
      <c r="AV44" s="30">
        <v>0</v>
      </c>
      <c r="AW44" s="31">
        <f>SUM(AS44:AV44)</f>
        <v>10</v>
      </c>
      <c r="AY44" s="30">
        <v>0</v>
      </c>
      <c r="AZ44" s="30">
        <v>11</v>
      </c>
      <c r="BA44" s="30">
        <v>0</v>
      </c>
      <c r="BB44" s="30">
        <v>0</v>
      </c>
      <c r="BC44" s="31">
        <f>SUM(AY44:BB44)</f>
        <v>11</v>
      </c>
      <c r="BE44" s="82">
        <v>0</v>
      </c>
      <c r="BF44" s="88">
        <v>0</v>
      </c>
      <c r="BG44" s="88">
        <v>0</v>
      </c>
      <c r="BH44" s="88">
        <v>0</v>
      </c>
      <c r="BI44" s="31">
        <f>SUM(BE44:BH44)</f>
        <v>0</v>
      </c>
      <c r="BK44" s="82">
        <v>3.5</v>
      </c>
      <c r="BL44" s="82">
        <v>0</v>
      </c>
      <c r="BM44" s="82">
        <v>0</v>
      </c>
      <c r="BN44" s="88">
        <v>0</v>
      </c>
      <c r="BO44" s="31">
        <f>SUM(BK44:BN44)</f>
        <v>3.5</v>
      </c>
      <c r="BQ44" s="82">
        <v>2</v>
      </c>
      <c r="BR44" s="82">
        <v>0</v>
      </c>
      <c r="BS44" s="82">
        <v>0</v>
      </c>
      <c r="BT44" s="88">
        <v>0</v>
      </c>
      <c r="BU44" s="31">
        <f>SUM(BQ44:BT44)</f>
        <v>2</v>
      </c>
      <c r="BW44" s="82">
        <v>0</v>
      </c>
      <c r="BX44" s="82">
        <v>2</v>
      </c>
      <c r="BY44" s="82"/>
      <c r="BZ44" s="88"/>
      <c r="CA44" s="31">
        <f>SUM(BW44:BZ44)</f>
        <v>2</v>
      </c>
    </row>
    <row r="45" spans="1:79">
      <c r="A45" s="4" t="s">
        <v>23</v>
      </c>
      <c r="C45" s="4">
        <v>238</v>
      </c>
      <c r="D45" s="4">
        <v>156</v>
      </c>
      <c r="E45" s="4">
        <v>152</v>
      </c>
      <c r="F45" s="4">
        <v>151</v>
      </c>
      <c r="I45" s="4">
        <v>150</v>
      </c>
      <c r="J45" s="4">
        <v>142</v>
      </c>
      <c r="K45" s="4">
        <v>142</v>
      </c>
      <c r="L45" s="4">
        <v>116</v>
      </c>
      <c r="O45" s="4">
        <v>118</v>
      </c>
      <c r="P45" s="4">
        <v>114</v>
      </c>
      <c r="Q45" s="4">
        <v>115</v>
      </c>
      <c r="R45" s="4">
        <v>116</v>
      </c>
      <c r="U45" s="4">
        <v>116</v>
      </c>
      <c r="V45" s="4">
        <v>110</v>
      </c>
      <c r="W45" s="4">
        <v>114</v>
      </c>
      <c r="X45" s="4">
        <v>117</v>
      </c>
      <c r="AA45" s="4">
        <v>111</v>
      </c>
      <c r="AB45" s="4">
        <v>101</v>
      </c>
      <c r="AC45" s="4">
        <v>106</v>
      </c>
      <c r="AD45" s="4">
        <v>109</v>
      </c>
      <c r="AG45" s="4">
        <v>112</v>
      </c>
      <c r="AH45" s="4">
        <v>111</v>
      </c>
      <c r="AI45" s="4">
        <v>110</v>
      </c>
      <c r="AJ45" s="4">
        <v>114</v>
      </c>
      <c r="AM45" s="4">
        <v>116</v>
      </c>
      <c r="AN45" s="4">
        <v>108</v>
      </c>
      <c r="AO45" s="4">
        <v>114</v>
      </c>
      <c r="AP45" s="4">
        <v>119</v>
      </c>
      <c r="AS45" s="4">
        <v>123</v>
      </c>
      <c r="AT45" s="4">
        <v>121</v>
      </c>
      <c r="AU45" s="4">
        <v>126</v>
      </c>
      <c r="AV45" s="4">
        <v>137</v>
      </c>
      <c r="AW45" s="12"/>
      <c r="AY45" s="4">
        <v>142</v>
      </c>
      <c r="AZ45" s="4">
        <v>142</v>
      </c>
      <c r="BA45" s="4">
        <v>152</v>
      </c>
      <c r="BB45" s="4">
        <v>145</v>
      </c>
      <c r="BC45" s="12"/>
      <c r="BE45" s="10">
        <v>146</v>
      </c>
      <c r="BF45" s="87">
        <v>148</v>
      </c>
      <c r="BG45" s="10">
        <v>150</v>
      </c>
      <c r="BH45" s="93">
        <f>+BH29/BH42*1000</f>
        <v>156.80074205244961</v>
      </c>
      <c r="BI45" s="12"/>
      <c r="BK45" s="10">
        <v>161</v>
      </c>
      <c r="BL45" s="93">
        <f>+BL29/BL42*1000</f>
        <v>169.76998904709748</v>
      </c>
      <c r="BM45" s="93">
        <f>+BM29/Valuation!BG10*1000</f>
        <v>168.7164532352817</v>
      </c>
      <c r="BN45" s="93">
        <f>+BN29/Valuation!BH10*1000</f>
        <v>173.49224462195173</v>
      </c>
      <c r="BO45" s="12"/>
      <c r="BQ45" s="93">
        <f>+BQ29/Valuation!BK10*1000</f>
        <v>168.59284021836513</v>
      </c>
      <c r="BR45" s="93">
        <f>+BR29/Valuation!BL10*1000</f>
        <v>168.33925359482285</v>
      </c>
      <c r="BS45" s="93">
        <f>+BS29/Valuation!BM10*1000</f>
        <v>169.05774902819266</v>
      </c>
      <c r="BT45" s="93">
        <f>+BT29/Valuation!BN10*1000</f>
        <v>171.59361526361556</v>
      </c>
      <c r="BU45" s="12"/>
      <c r="BW45" s="93">
        <f>+BW29/Valuation!BQ10*1000</f>
        <v>172.8643680381511</v>
      </c>
      <c r="BX45" s="93">
        <v>233</v>
      </c>
      <c r="BY45" s="93"/>
      <c r="BZ45" s="93"/>
      <c r="CA45" s="12"/>
    </row>
    <row r="46" spans="1:79">
      <c r="A46" s="4" t="s">
        <v>22</v>
      </c>
      <c r="C46" s="4">
        <v>252</v>
      </c>
      <c r="D46" s="4">
        <v>119</v>
      </c>
      <c r="E46" s="4">
        <v>103</v>
      </c>
      <c r="F46" s="4">
        <v>105</v>
      </c>
      <c r="I46" s="4">
        <v>95</v>
      </c>
      <c r="J46" s="4">
        <v>85</v>
      </c>
      <c r="K46" s="4">
        <v>57</v>
      </c>
      <c r="L46" s="4">
        <v>74</v>
      </c>
      <c r="O46" s="4">
        <v>76</v>
      </c>
      <c r="P46" s="4">
        <v>90</v>
      </c>
      <c r="Q46" s="4">
        <v>106</v>
      </c>
      <c r="R46" s="4">
        <v>108</v>
      </c>
      <c r="U46" s="4">
        <v>118</v>
      </c>
      <c r="V46" s="4">
        <v>125</v>
      </c>
      <c r="W46" s="4">
        <v>137</v>
      </c>
      <c r="X46" s="4">
        <v>159</v>
      </c>
      <c r="AA46" s="4">
        <v>118</v>
      </c>
      <c r="AB46" s="4">
        <v>125</v>
      </c>
      <c r="AC46" s="4">
        <v>137</v>
      </c>
      <c r="AD46" s="4">
        <v>159</v>
      </c>
      <c r="AG46" s="4">
        <v>198</v>
      </c>
      <c r="AH46" s="4">
        <v>229</v>
      </c>
      <c r="AI46" s="4">
        <v>262</v>
      </c>
      <c r="AJ46" s="4">
        <v>289</v>
      </c>
      <c r="AM46" s="4">
        <v>389</v>
      </c>
      <c r="AN46" s="4">
        <v>366</v>
      </c>
      <c r="AO46" s="4">
        <v>442</v>
      </c>
      <c r="AP46" s="4">
        <v>503</v>
      </c>
      <c r="AS46" s="4">
        <v>449</v>
      </c>
      <c r="AT46" s="4">
        <v>549</v>
      </c>
      <c r="AU46" s="4">
        <v>586</v>
      </c>
      <c r="AV46" s="4">
        <v>459</v>
      </c>
      <c r="AW46" s="12"/>
      <c r="AY46" s="4">
        <v>340</v>
      </c>
      <c r="AZ46" s="4">
        <v>383</v>
      </c>
      <c r="BA46" s="4">
        <v>245</v>
      </c>
      <c r="BB46" s="4">
        <v>106</v>
      </c>
      <c r="BC46" s="12"/>
      <c r="BE46" s="87">
        <v>97</v>
      </c>
      <c r="BF46" s="84">
        <v>179</v>
      </c>
      <c r="BG46" s="87">
        <v>297</v>
      </c>
      <c r="BH46" s="10">
        <v>291</v>
      </c>
      <c r="BI46" s="12"/>
      <c r="BK46" s="87">
        <v>305</v>
      </c>
      <c r="BL46" s="58">
        <v>274</v>
      </c>
      <c r="BM46" s="87">
        <v>270</v>
      </c>
      <c r="BN46" s="10">
        <v>297</v>
      </c>
      <c r="BO46" s="12"/>
      <c r="BQ46" s="84">
        <f>+Valuation!BK12</f>
        <v>309</v>
      </c>
      <c r="BR46" s="84">
        <f>+Valuation!BL12</f>
        <v>329</v>
      </c>
      <c r="BS46" s="84">
        <f>+Valuation!BM12</f>
        <v>202</v>
      </c>
      <c r="BT46" s="84">
        <f>+Valuation!BN12</f>
        <v>191</v>
      </c>
      <c r="BU46" s="12"/>
      <c r="BW46" s="84">
        <f>+Valuation!BQ12</f>
        <v>254</v>
      </c>
      <c r="BX46" s="84">
        <v>190</v>
      </c>
      <c r="BY46" s="84"/>
      <c r="BZ46" s="84"/>
      <c r="CA46" s="12"/>
    </row>
    <row r="47" spans="1:79">
      <c r="BG47" s="100"/>
      <c r="BH47" s="100"/>
      <c r="BK47" s="100"/>
      <c r="BL47" s="100"/>
    </row>
    <row r="48" spans="1:79">
      <c r="AN48" s="14"/>
      <c r="AT48" s="14"/>
      <c r="AY48" s="14"/>
      <c r="AZ48" s="14"/>
      <c r="BA48" s="14"/>
      <c r="BB48" s="14"/>
      <c r="BE48" s="14"/>
      <c r="BF48" s="14"/>
      <c r="BG48" s="100"/>
      <c r="BH48" s="100"/>
      <c r="BK48" s="100"/>
      <c r="BL48" s="100"/>
      <c r="BM48" s="100"/>
      <c r="BN48" s="14"/>
    </row>
    <row r="49" spans="40:66">
      <c r="AT49" s="14"/>
      <c r="AY49" s="97"/>
      <c r="AZ49" s="97"/>
      <c r="BA49" s="97"/>
      <c r="BB49" s="97"/>
      <c r="BE49" s="97"/>
      <c r="BF49" s="97"/>
      <c r="BG49" s="97"/>
      <c r="BH49" s="97"/>
      <c r="BK49" s="101"/>
      <c r="BL49" s="101"/>
      <c r="BM49" s="101"/>
      <c r="BN49" s="97"/>
    </row>
    <row r="50" spans="40:66">
      <c r="AN50" s="30"/>
      <c r="AT50" s="30"/>
      <c r="AZ50" s="30"/>
    </row>
  </sheetData>
  <mergeCells count="26">
    <mergeCell ref="C1:G1"/>
    <mergeCell ref="AG2:AK2"/>
    <mergeCell ref="C2:G2"/>
    <mergeCell ref="I2:M2"/>
    <mergeCell ref="U1:Y1"/>
    <mergeCell ref="AG1:AK1"/>
    <mergeCell ref="AA2:AE2"/>
    <mergeCell ref="AA1:AE1"/>
    <mergeCell ref="I1:M1"/>
    <mergeCell ref="O1:S1"/>
    <mergeCell ref="AS2:AW2"/>
    <mergeCell ref="AM1:AQ1"/>
    <mergeCell ref="O2:S2"/>
    <mergeCell ref="U2:Y2"/>
    <mergeCell ref="AM2:AQ2"/>
    <mergeCell ref="AS1:AW1"/>
    <mergeCell ref="BW1:CA1"/>
    <mergeCell ref="BW2:CA2"/>
    <mergeCell ref="AY2:BC2"/>
    <mergeCell ref="BE2:BI2"/>
    <mergeCell ref="AY1:BC1"/>
    <mergeCell ref="BQ1:BU1"/>
    <mergeCell ref="BQ2:BU2"/>
    <mergeCell ref="BK1:BO1"/>
    <mergeCell ref="BK2:BO2"/>
    <mergeCell ref="BE1:BI1"/>
  </mergeCells>
  <phoneticPr fontId="0" type="noConversion"/>
  <pageMargins left="0.35433070866141736" right="0.31496062992125984" top="0.70866141732283472" bottom="0.23622047244094491" header="0.23622047244094491" footer="0.19685039370078741"/>
  <pageSetup paperSize="9" scale="72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N43"/>
  <sheetViews>
    <sheetView showGridLines="0" zoomScaleNormal="100" zoomScaleSheetLayoutView="85" workbookViewId="0">
      <pane xSplit="1" ySplit="3" topLeftCell="BA14" activePane="bottomRight" state="frozen"/>
      <selection activeCell="AJ26" sqref="AJ26"/>
      <selection pane="topRight" activeCell="AJ26" sqref="AJ26"/>
      <selection pane="bottomLeft" activeCell="AJ26" sqref="AJ26"/>
      <selection pane="bottomRight" activeCell="AJ26" sqref="AJ26"/>
    </sheetView>
  </sheetViews>
  <sheetFormatPr defaultColWidth="9.140625" defaultRowHeight="12.75"/>
  <cols>
    <col min="1" max="1" width="36.42578125" style="4" customWidth="1"/>
    <col min="2" max="2" width="4.28515625" style="10" customWidth="1"/>
    <col min="3" max="6" width="9.140625" style="4" customWidth="1"/>
    <col min="7" max="7" width="4.85546875" style="3" customWidth="1"/>
    <col min="8" max="11" width="9.140625" style="4" customWidth="1"/>
    <col min="12" max="12" width="4.7109375" style="12" customWidth="1"/>
    <col min="13" max="16" width="9.140625" style="4" customWidth="1"/>
    <col min="17" max="17" width="4.7109375" style="12" customWidth="1"/>
    <col min="18" max="21" width="9.140625" style="4" customWidth="1"/>
    <col min="22" max="22" width="4.7109375" style="12" customWidth="1"/>
    <col min="23" max="26" width="9.140625" style="4" customWidth="1"/>
    <col min="27" max="27" width="4.7109375" style="12" customWidth="1"/>
    <col min="28" max="31" width="9.140625" style="4" customWidth="1"/>
    <col min="32" max="32" width="4.7109375" style="12" customWidth="1"/>
    <col min="33" max="36" width="9.140625" style="4" customWidth="1"/>
    <col min="37" max="37" width="4.7109375" style="12" customWidth="1"/>
    <col min="38" max="41" width="9.140625" style="4" customWidth="1"/>
    <col min="42" max="42" width="4.7109375" style="12" customWidth="1"/>
    <col min="43" max="46" width="9.140625" style="4"/>
    <col min="47" max="47" width="4.7109375" style="12" customWidth="1"/>
    <col min="48" max="51" width="9.140625" style="4"/>
    <col min="52" max="52" width="2.28515625" style="4" customWidth="1"/>
    <col min="53" max="56" width="9.140625" style="4"/>
    <col min="57" max="57" width="2.28515625" style="4" customWidth="1"/>
    <col min="58" max="61" width="9.140625" style="4"/>
    <col min="62" max="62" width="2.85546875" style="4" customWidth="1"/>
    <col min="63" max="16384" width="9.140625" style="4"/>
  </cols>
  <sheetData>
    <row r="1" spans="1:66">
      <c r="C1" s="106" t="s">
        <v>157</v>
      </c>
      <c r="D1" s="106"/>
      <c r="E1" s="106"/>
      <c r="F1" s="106"/>
      <c r="G1" s="106"/>
      <c r="H1" s="106" t="s">
        <v>157</v>
      </c>
      <c r="I1" s="106"/>
      <c r="J1" s="106"/>
      <c r="K1" s="106"/>
      <c r="L1" s="106"/>
      <c r="M1" s="106" t="s">
        <v>157</v>
      </c>
      <c r="N1" s="106"/>
      <c r="O1" s="106"/>
      <c r="P1" s="106"/>
      <c r="Q1" s="106"/>
      <c r="R1" s="106" t="s">
        <v>157</v>
      </c>
      <c r="S1" s="106"/>
      <c r="T1" s="106"/>
      <c r="U1" s="106"/>
      <c r="V1" s="106"/>
      <c r="W1" s="106" t="s">
        <v>132</v>
      </c>
      <c r="X1" s="106"/>
      <c r="Y1" s="106"/>
      <c r="Z1" s="106"/>
      <c r="AA1" s="52"/>
      <c r="AB1" s="106" t="s">
        <v>132</v>
      </c>
      <c r="AC1" s="106"/>
      <c r="AD1" s="106"/>
      <c r="AE1" s="106"/>
      <c r="AF1" s="52"/>
      <c r="AG1" s="106" t="s">
        <v>132</v>
      </c>
      <c r="AH1" s="106"/>
      <c r="AI1" s="106"/>
      <c r="AJ1" s="106"/>
      <c r="AK1" s="52"/>
      <c r="AL1" s="106" t="s">
        <v>132</v>
      </c>
      <c r="AM1" s="106"/>
      <c r="AN1" s="106"/>
      <c r="AO1" s="106"/>
      <c r="AP1" s="52"/>
      <c r="AQ1" s="106" t="s">
        <v>132</v>
      </c>
      <c r="AR1" s="106"/>
      <c r="AS1" s="106"/>
      <c r="AT1" s="106"/>
      <c r="AU1" s="52"/>
      <c r="AV1" s="106" t="s">
        <v>132</v>
      </c>
      <c r="AW1" s="106"/>
      <c r="AX1" s="106"/>
      <c r="AY1" s="106"/>
      <c r="BA1" s="106" t="s">
        <v>132</v>
      </c>
      <c r="BB1" s="106"/>
      <c r="BC1" s="106"/>
      <c r="BD1" s="106"/>
      <c r="BF1" s="106" t="s">
        <v>132</v>
      </c>
      <c r="BG1" s="106"/>
      <c r="BH1" s="106"/>
      <c r="BI1" s="106"/>
      <c r="BK1" s="106" t="s">
        <v>132</v>
      </c>
      <c r="BL1" s="106"/>
      <c r="BM1" s="106"/>
      <c r="BN1" s="106"/>
    </row>
    <row r="2" spans="1:66">
      <c r="A2" s="1" t="s">
        <v>46</v>
      </c>
      <c r="B2" s="2"/>
      <c r="C2" s="107">
        <v>2001</v>
      </c>
      <c r="D2" s="107"/>
      <c r="E2" s="107"/>
      <c r="F2" s="107"/>
      <c r="H2" s="107">
        <v>2002</v>
      </c>
      <c r="I2" s="107"/>
      <c r="J2" s="107"/>
      <c r="K2" s="107"/>
      <c r="L2" s="22"/>
      <c r="M2" s="107">
        <v>2003</v>
      </c>
      <c r="N2" s="107"/>
      <c r="O2" s="107"/>
      <c r="P2" s="107"/>
      <c r="Q2" s="22"/>
      <c r="R2" s="107">
        <v>2004</v>
      </c>
      <c r="S2" s="107"/>
      <c r="T2" s="107"/>
      <c r="U2" s="107"/>
      <c r="V2" s="22"/>
      <c r="W2" s="107">
        <v>2004</v>
      </c>
      <c r="X2" s="107"/>
      <c r="Y2" s="107"/>
      <c r="Z2" s="107"/>
      <c r="AA2" s="22"/>
      <c r="AB2" s="107">
        <v>2005</v>
      </c>
      <c r="AC2" s="107"/>
      <c r="AD2" s="107"/>
      <c r="AE2" s="107"/>
      <c r="AF2" s="22"/>
      <c r="AG2" s="107">
        <v>2006</v>
      </c>
      <c r="AH2" s="107"/>
      <c r="AI2" s="107"/>
      <c r="AJ2" s="107"/>
      <c r="AK2" s="22"/>
      <c r="AL2" s="107">
        <v>2007</v>
      </c>
      <c r="AM2" s="107"/>
      <c r="AN2" s="107"/>
      <c r="AO2" s="107"/>
      <c r="AP2" s="22"/>
      <c r="AQ2" s="107">
        <v>2008</v>
      </c>
      <c r="AR2" s="107"/>
      <c r="AS2" s="107"/>
      <c r="AT2" s="107"/>
      <c r="AU2" s="22"/>
      <c r="AV2" s="107">
        <v>2009</v>
      </c>
      <c r="AW2" s="107"/>
      <c r="AX2" s="107"/>
      <c r="AY2" s="107"/>
      <c r="BA2" s="107">
        <v>2010</v>
      </c>
      <c r="BB2" s="107"/>
      <c r="BC2" s="107"/>
      <c r="BD2" s="107"/>
      <c r="BF2" s="107">
        <v>2011</v>
      </c>
      <c r="BG2" s="107"/>
      <c r="BH2" s="107"/>
      <c r="BI2" s="107"/>
      <c r="BK2" s="107">
        <v>2012</v>
      </c>
      <c r="BL2" s="107"/>
      <c r="BM2" s="107"/>
      <c r="BN2" s="107"/>
    </row>
    <row r="3" spans="1:66">
      <c r="A3" s="5" t="s">
        <v>47</v>
      </c>
      <c r="B3" s="6"/>
      <c r="C3" s="71" t="s">
        <v>10</v>
      </c>
      <c r="D3" s="71" t="s">
        <v>11</v>
      </c>
      <c r="E3" s="71" t="s">
        <v>12</v>
      </c>
      <c r="F3" s="71" t="s">
        <v>13</v>
      </c>
      <c r="G3" s="9"/>
      <c r="H3" s="71" t="s">
        <v>10</v>
      </c>
      <c r="I3" s="71" t="s">
        <v>11</v>
      </c>
      <c r="J3" s="71" t="s">
        <v>12</v>
      </c>
      <c r="K3" s="71" t="s">
        <v>13</v>
      </c>
      <c r="L3" s="23"/>
      <c r="M3" s="71" t="s">
        <v>10</v>
      </c>
      <c r="N3" s="71" t="s">
        <v>11</v>
      </c>
      <c r="O3" s="71" t="s">
        <v>12</v>
      </c>
      <c r="P3" s="71" t="s">
        <v>13</v>
      </c>
      <c r="Q3" s="23"/>
      <c r="R3" s="71" t="s">
        <v>10</v>
      </c>
      <c r="S3" s="71" t="s">
        <v>11</v>
      </c>
      <c r="T3" s="71" t="s">
        <v>12</v>
      </c>
      <c r="U3" s="71" t="s">
        <v>13</v>
      </c>
      <c r="V3" s="23"/>
      <c r="W3" s="71" t="s">
        <v>10</v>
      </c>
      <c r="X3" s="71" t="s">
        <v>11</v>
      </c>
      <c r="Y3" s="71" t="s">
        <v>12</v>
      </c>
      <c r="Z3" s="71" t="s">
        <v>13</v>
      </c>
      <c r="AA3" s="23"/>
      <c r="AB3" s="71" t="s">
        <v>10</v>
      </c>
      <c r="AC3" s="71" t="s">
        <v>11</v>
      </c>
      <c r="AD3" s="71" t="s">
        <v>12</v>
      </c>
      <c r="AE3" s="71" t="s">
        <v>13</v>
      </c>
      <c r="AF3" s="23"/>
      <c r="AG3" s="71" t="s">
        <v>10</v>
      </c>
      <c r="AH3" s="71" t="s">
        <v>11</v>
      </c>
      <c r="AI3" s="71" t="s">
        <v>12</v>
      </c>
      <c r="AJ3" s="71" t="s">
        <v>13</v>
      </c>
      <c r="AK3" s="23"/>
      <c r="AL3" s="71" t="s">
        <v>10</v>
      </c>
      <c r="AM3" s="71" t="s">
        <v>11</v>
      </c>
      <c r="AN3" s="71" t="s">
        <v>12</v>
      </c>
      <c r="AO3" s="71" t="s">
        <v>13</v>
      </c>
      <c r="AP3" s="23"/>
      <c r="AQ3" s="71" t="s">
        <v>10</v>
      </c>
      <c r="AR3" s="71" t="s">
        <v>11</v>
      </c>
      <c r="AS3" s="71" t="s">
        <v>12</v>
      </c>
      <c r="AT3" s="71" t="s">
        <v>13</v>
      </c>
      <c r="AU3" s="23"/>
      <c r="AV3" s="71" t="s">
        <v>10</v>
      </c>
      <c r="AW3" s="71" t="s">
        <v>11</v>
      </c>
      <c r="AX3" s="71" t="s">
        <v>12</v>
      </c>
      <c r="AY3" s="71" t="s">
        <v>13</v>
      </c>
      <c r="BA3" s="71" t="s">
        <v>10</v>
      </c>
      <c r="BB3" s="71" t="s">
        <v>11</v>
      </c>
      <c r="BC3" s="71" t="s">
        <v>12</v>
      </c>
      <c r="BD3" s="71" t="s">
        <v>13</v>
      </c>
      <c r="BF3" s="71" t="s">
        <v>10</v>
      </c>
      <c r="BG3" s="71" t="s">
        <v>11</v>
      </c>
      <c r="BH3" s="71" t="s">
        <v>12</v>
      </c>
      <c r="BI3" s="71" t="s">
        <v>13</v>
      </c>
      <c r="BK3" s="71" t="s">
        <v>10</v>
      </c>
      <c r="BL3" s="71" t="s">
        <v>11</v>
      </c>
      <c r="BM3" s="71" t="s">
        <v>12</v>
      </c>
      <c r="BN3" s="71" t="s">
        <v>13</v>
      </c>
    </row>
    <row r="5" spans="1:66">
      <c r="A5" s="24" t="s">
        <v>26</v>
      </c>
    </row>
    <row r="6" spans="1:66">
      <c r="A6" s="4" t="s">
        <v>139</v>
      </c>
      <c r="C6" s="14">
        <v>844</v>
      </c>
      <c r="D6" s="14">
        <v>879</v>
      </c>
      <c r="E6" s="14">
        <v>816</v>
      </c>
      <c r="F6" s="14">
        <v>821</v>
      </c>
      <c r="G6" s="16"/>
      <c r="H6" s="14">
        <v>838</v>
      </c>
      <c r="I6" s="14">
        <v>778</v>
      </c>
      <c r="J6" s="14">
        <v>785</v>
      </c>
      <c r="K6" s="14">
        <v>706</v>
      </c>
      <c r="M6" s="14">
        <v>686</v>
      </c>
      <c r="N6" s="14">
        <v>661</v>
      </c>
      <c r="O6" s="14">
        <v>659</v>
      </c>
      <c r="P6" s="14">
        <v>651</v>
      </c>
      <c r="R6" s="14">
        <v>683</v>
      </c>
      <c r="S6" s="14">
        <v>1125</v>
      </c>
      <c r="T6" s="14">
        <v>1124</v>
      </c>
      <c r="U6" s="14">
        <v>1040</v>
      </c>
      <c r="W6" s="14">
        <v>681</v>
      </c>
      <c r="X6" s="14">
        <v>963</v>
      </c>
      <c r="Y6" s="14">
        <v>984</v>
      </c>
      <c r="Z6" s="14">
        <v>928</v>
      </c>
      <c r="AB6" s="14">
        <v>1006</v>
      </c>
      <c r="AC6" s="14">
        <v>1037</v>
      </c>
      <c r="AD6" s="14">
        <v>1043</v>
      </c>
      <c r="AE6" s="14">
        <v>1011</v>
      </c>
      <c r="AG6" s="14">
        <v>1013</v>
      </c>
      <c r="AH6" s="14">
        <v>989</v>
      </c>
      <c r="AI6" s="14">
        <v>995</v>
      </c>
      <c r="AJ6" s="14">
        <v>820</v>
      </c>
      <c r="AL6" s="14">
        <v>1165</v>
      </c>
      <c r="AM6" s="14">
        <v>1234</v>
      </c>
      <c r="AN6" s="14">
        <v>1331</v>
      </c>
      <c r="AO6" s="14">
        <v>1387</v>
      </c>
      <c r="AQ6" s="14">
        <v>1432</v>
      </c>
      <c r="AR6" s="14">
        <v>1506</v>
      </c>
      <c r="AS6" s="14">
        <v>1585</v>
      </c>
      <c r="AT6" s="14">
        <v>1585</v>
      </c>
      <c r="AV6" s="14">
        <v>1642</v>
      </c>
      <c r="AW6" s="14">
        <v>1605</v>
      </c>
      <c r="AX6" s="14">
        <v>1591</v>
      </c>
      <c r="AY6" s="14">
        <v>1621</v>
      </c>
      <c r="BA6" s="14">
        <v>1681</v>
      </c>
      <c r="BB6" s="14">
        <v>1806</v>
      </c>
      <c r="BC6" s="14">
        <v>1714</v>
      </c>
      <c r="BD6" s="14">
        <v>1767</v>
      </c>
      <c r="BF6" s="14">
        <v>1803</v>
      </c>
      <c r="BG6" s="14">
        <v>1811</v>
      </c>
      <c r="BH6" s="14">
        <v>1911</v>
      </c>
      <c r="BI6" s="14">
        <v>1988</v>
      </c>
      <c r="BK6" s="14">
        <v>1963</v>
      </c>
      <c r="BL6" s="14">
        <v>2029</v>
      </c>
      <c r="BM6" s="14"/>
      <c r="BN6" s="14"/>
    </row>
    <row r="7" spans="1:66">
      <c r="A7" s="4" t="s">
        <v>140</v>
      </c>
      <c r="C7" s="14">
        <v>2130</v>
      </c>
      <c r="D7" s="14">
        <v>2136</v>
      </c>
      <c r="E7" s="14">
        <v>2046</v>
      </c>
      <c r="F7" s="14">
        <v>2056</v>
      </c>
      <c r="G7" s="16"/>
      <c r="H7" s="14">
        <v>1977</v>
      </c>
      <c r="I7" s="14">
        <v>1914</v>
      </c>
      <c r="J7" s="14">
        <v>1844</v>
      </c>
      <c r="K7" s="14">
        <v>1137</v>
      </c>
      <c r="M7" s="14">
        <v>1108</v>
      </c>
      <c r="N7" s="14">
        <v>1087</v>
      </c>
      <c r="O7" s="14">
        <v>1072</v>
      </c>
      <c r="P7" s="14">
        <v>1029</v>
      </c>
      <c r="R7" s="14">
        <v>1027</v>
      </c>
      <c r="S7" s="14">
        <v>1218</v>
      </c>
      <c r="T7" s="14">
        <v>1057</v>
      </c>
      <c r="U7" s="14">
        <v>1009</v>
      </c>
      <c r="W7" s="14">
        <v>802</v>
      </c>
      <c r="X7" s="14">
        <v>997</v>
      </c>
      <c r="Y7" s="14">
        <v>842</v>
      </c>
      <c r="Z7" s="14">
        <v>800</v>
      </c>
      <c r="AB7" s="14">
        <v>769</v>
      </c>
      <c r="AC7" s="14">
        <v>779</v>
      </c>
      <c r="AD7" s="14">
        <v>805</v>
      </c>
      <c r="AE7" s="14">
        <v>805</v>
      </c>
      <c r="AG7" s="14">
        <v>841</v>
      </c>
      <c r="AH7" s="14">
        <v>750</v>
      </c>
      <c r="AI7" s="14">
        <v>767</v>
      </c>
      <c r="AJ7" s="14">
        <v>809</v>
      </c>
      <c r="AL7" s="14">
        <v>1057</v>
      </c>
      <c r="AM7" s="14">
        <v>1119</v>
      </c>
      <c r="AN7" s="14">
        <v>1414</v>
      </c>
      <c r="AO7" s="14">
        <v>1508</v>
      </c>
      <c r="AQ7" s="14">
        <v>1594</v>
      </c>
      <c r="AR7" s="14">
        <v>1754</v>
      </c>
      <c r="AS7" s="14">
        <v>1874</v>
      </c>
      <c r="AT7" s="14">
        <v>2009</v>
      </c>
      <c r="AV7" s="14">
        <v>2105</v>
      </c>
      <c r="AW7" s="14">
        <v>2343</v>
      </c>
      <c r="AX7" s="14">
        <v>2548</v>
      </c>
      <c r="AY7" s="14">
        <v>2667</v>
      </c>
      <c r="BA7" s="14">
        <v>2955</v>
      </c>
      <c r="BB7" s="14">
        <v>3057</v>
      </c>
      <c r="BC7" s="14">
        <v>3127</v>
      </c>
      <c r="BD7" s="14">
        <v>3225</v>
      </c>
      <c r="BF7" s="14">
        <v>3230</v>
      </c>
      <c r="BG7" s="14">
        <v>3263</v>
      </c>
      <c r="BH7" s="14">
        <v>3291</v>
      </c>
      <c r="BI7" s="14">
        <v>3260</v>
      </c>
      <c r="BK7" s="14">
        <v>3282</v>
      </c>
      <c r="BL7" s="14">
        <v>3256</v>
      </c>
      <c r="BM7" s="14"/>
      <c r="BN7" s="14"/>
    </row>
    <row r="8" spans="1:66">
      <c r="A8" s="4" t="s">
        <v>141</v>
      </c>
      <c r="C8" s="14">
        <v>46</v>
      </c>
      <c r="D8" s="14">
        <v>46</v>
      </c>
      <c r="E8" s="14">
        <v>45</v>
      </c>
      <c r="F8" s="14">
        <v>45</v>
      </c>
      <c r="G8" s="16"/>
      <c r="H8" s="14">
        <v>43</v>
      </c>
      <c r="I8" s="14">
        <v>43</v>
      </c>
      <c r="J8" s="14">
        <v>42</v>
      </c>
      <c r="K8" s="14">
        <v>166</v>
      </c>
      <c r="M8" s="14">
        <v>165</v>
      </c>
      <c r="N8" s="14">
        <v>158</v>
      </c>
      <c r="O8" s="14">
        <v>157</v>
      </c>
      <c r="P8" s="14">
        <v>201</v>
      </c>
      <c r="R8" s="14">
        <v>201</v>
      </c>
      <c r="S8" s="14">
        <v>214</v>
      </c>
      <c r="T8" s="14">
        <v>211</v>
      </c>
      <c r="U8" s="14">
        <v>347</v>
      </c>
      <c r="W8" s="14">
        <v>290</v>
      </c>
      <c r="X8" s="14">
        <v>355</v>
      </c>
      <c r="Y8" s="14">
        <v>344</v>
      </c>
      <c r="Z8" s="14">
        <v>454</v>
      </c>
      <c r="AB8" s="14">
        <v>404</v>
      </c>
      <c r="AC8" s="14">
        <v>393</v>
      </c>
      <c r="AD8" s="14">
        <v>377</v>
      </c>
      <c r="AE8" s="14">
        <v>395</v>
      </c>
      <c r="AG8" s="14">
        <v>412</v>
      </c>
      <c r="AH8" s="14">
        <v>421</v>
      </c>
      <c r="AI8" s="14">
        <v>409</v>
      </c>
      <c r="AJ8" s="14">
        <v>556</v>
      </c>
      <c r="AL8" s="14">
        <v>547</v>
      </c>
      <c r="AM8" s="14">
        <v>557</v>
      </c>
      <c r="AN8" s="14">
        <v>605</v>
      </c>
      <c r="AO8" s="14">
        <v>541</v>
      </c>
      <c r="AQ8" s="14">
        <v>577</v>
      </c>
      <c r="AR8" s="14">
        <v>669</v>
      </c>
      <c r="AS8" s="14">
        <v>719</v>
      </c>
      <c r="AT8" s="14">
        <v>728</v>
      </c>
      <c r="AV8" s="14">
        <v>767</v>
      </c>
      <c r="AW8" s="14">
        <v>808</v>
      </c>
      <c r="AX8" s="14">
        <v>843</v>
      </c>
      <c r="AY8" s="14">
        <v>884</v>
      </c>
      <c r="BA8" s="14">
        <v>901</v>
      </c>
      <c r="BB8" s="14">
        <v>853</v>
      </c>
      <c r="BC8" s="14">
        <v>838</v>
      </c>
      <c r="BD8" s="14">
        <v>972</v>
      </c>
      <c r="BF8" s="14">
        <v>981</v>
      </c>
      <c r="BG8" s="14">
        <v>991</v>
      </c>
      <c r="BH8" s="14">
        <v>1070</v>
      </c>
      <c r="BI8" s="14">
        <v>1270</v>
      </c>
      <c r="BK8" s="14">
        <v>664</v>
      </c>
      <c r="BL8" s="14">
        <v>674</v>
      </c>
      <c r="BM8" s="14"/>
      <c r="BN8" s="14"/>
    </row>
    <row r="9" spans="1:66">
      <c r="A9" s="4" t="s">
        <v>142</v>
      </c>
      <c r="C9" s="26">
        <f>SUM(C6:C8)</f>
        <v>3020</v>
      </c>
      <c r="D9" s="26">
        <f>SUM(D6:D8)</f>
        <v>3061</v>
      </c>
      <c r="E9" s="26">
        <f>SUM(E6:E8)</f>
        <v>2907</v>
      </c>
      <c r="F9" s="26">
        <f>SUM(F6:F8)</f>
        <v>2922</v>
      </c>
      <c r="G9" s="16"/>
      <c r="H9" s="26">
        <f>SUM(H6:H8)</f>
        <v>2858</v>
      </c>
      <c r="I9" s="26">
        <f>SUM(I6:I8)</f>
        <v>2735</v>
      </c>
      <c r="J9" s="26">
        <f>SUM(J6:J8)</f>
        <v>2671</v>
      </c>
      <c r="K9" s="26">
        <f>SUM(K6:K8)</f>
        <v>2009</v>
      </c>
      <c r="M9" s="26">
        <f>SUM(M6:M8)</f>
        <v>1959</v>
      </c>
      <c r="N9" s="26">
        <f>SUM(N6:N8)</f>
        <v>1906</v>
      </c>
      <c r="O9" s="26">
        <f>SUM(O6:O8)</f>
        <v>1888</v>
      </c>
      <c r="P9" s="26">
        <f>SUM(P6:P8)</f>
        <v>1881</v>
      </c>
      <c r="R9" s="26">
        <f>SUM(R6:R8)</f>
        <v>1911</v>
      </c>
      <c r="S9" s="26">
        <f>SUM(S6:S8)</f>
        <v>2557</v>
      </c>
      <c r="T9" s="26">
        <f>SUM(T6:T8)</f>
        <v>2392</v>
      </c>
      <c r="U9" s="26">
        <f>SUM(U6:U8)</f>
        <v>2396</v>
      </c>
      <c r="W9" s="26">
        <f>SUM(W6:W8)</f>
        <v>1773</v>
      </c>
      <c r="X9" s="26">
        <f>SUM(X6:X8)</f>
        <v>2315</v>
      </c>
      <c r="Y9" s="26">
        <f>SUM(Y6:Y8)</f>
        <v>2170</v>
      </c>
      <c r="Z9" s="26">
        <f>SUM(Z6:Z8)</f>
        <v>2182</v>
      </c>
      <c r="AB9" s="26">
        <f>SUM(AB6:AB8)</f>
        <v>2179</v>
      </c>
      <c r="AC9" s="26">
        <f>SUM(AC6:AC8)</f>
        <v>2209</v>
      </c>
      <c r="AD9" s="26">
        <f>SUM(AD6:AD8)</f>
        <v>2225</v>
      </c>
      <c r="AE9" s="26">
        <f>SUM(AE6:AE8)</f>
        <v>2211</v>
      </c>
      <c r="AG9" s="26">
        <f>SUM(AG6:AG8)</f>
        <v>2266</v>
      </c>
      <c r="AH9" s="26">
        <f>SUM(AH6:AH8)</f>
        <v>2160</v>
      </c>
      <c r="AI9" s="26">
        <f>SUM(AI6:AI8)</f>
        <v>2171</v>
      </c>
      <c r="AJ9" s="26">
        <f>SUM(AJ6:AJ8)</f>
        <v>2185</v>
      </c>
      <c r="AL9" s="26">
        <f>SUM(AL6:AL8)</f>
        <v>2769</v>
      </c>
      <c r="AM9" s="26">
        <f>SUM(AM6:AM8)</f>
        <v>2910</v>
      </c>
      <c r="AN9" s="26">
        <f>SUM(AN6:AN8)</f>
        <v>3350</v>
      </c>
      <c r="AO9" s="26">
        <f>SUM(AO6:AO8)</f>
        <v>3436</v>
      </c>
      <c r="AQ9" s="26">
        <f>SUM(AQ6:AQ8)</f>
        <v>3603</v>
      </c>
      <c r="AR9" s="26">
        <f>SUM(AR6:AR8)</f>
        <v>3929</v>
      </c>
      <c r="AS9" s="26">
        <f>SUM(AS6:AS8)</f>
        <v>4178</v>
      </c>
      <c r="AT9" s="26">
        <f>SUM(AT6:AT8)</f>
        <v>4322</v>
      </c>
      <c r="AV9" s="26">
        <f>SUM(AV6:AV8)</f>
        <v>4514</v>
      </c>
      <c r="AW9" s="26">
        <f>SUM(AW6:AW8)</f>
        <v>4756</v>
      </c>
      <c r="AX9" s="26">
        <f>SUM(AX6:AX8)</f>
        <v>4982</v>
      </c>
      <c r="AY9" s="26">
        <f>SUM(AY6:AY8)</f>
        <v>5172</v>
      </c>
      <c r="BA9" s="26">
        <f>SUM(BA6:BA8)</f>
        <v>5537</v>
      </c>
      <c r="BB9" s="26">
        <f>SUM(BB6:BB8)</f>
        <v>5716</v>
      </c>
      <c r="BC9" s="26">
        <f>SUM(BC6:BC8)</f>
        <v>5679</v>
      </c>
      <c r="BD9" s="26">
        <f>SUM(BD6:BD8)</f>
        <v>5964</v>
      </c>
      <c r="BF9" s="26">
        <f>SUM(BF6:BF8)</f>
        <v>6014</v>
      </c>
      <c r="BG9" s="26">
        <f>SUM(BG6:BG8)</f>
        <v>6065</v>
      </c>
      <c r="BH9" s="26">
        <f>SUM(BH6:BH8)</f>
        <v>6272</v>
      </c>
      <c r="BI9" s="26">
        <f>SUM(BI6:BI8)</f>
        <v>6518</v>
      </c>
      <c r="BK9" s="26">
        <f>SUM(BK6:BK8)</f>
        <v>5909</v>
      </c>
      <c r="BL9" s="26">
        <f>SUM(BL6:BL8)</f>
        <v>5959</v>
      </c>
      <c r="BM9" s="26">
        <f>SUM(BM6:BM8)</f>
        <v>0</v>
      </c>
      <c r="BN9" s="26">
        <f>SUM(BN6:BN8)</f>
        <v>0</v>
      </c>
    </row>
    <row r="10" spans="1:66">
      <c r="C10" s="14"/>
      <c r="D10" s="14"/>
      <c r="E10" s="14"/>
      <c r="F10" s="14"/>
      <c r="G10" s="16"/>
      <c r="H10" s="14"/>
      <c r="I10" s="14"/>
      <c r="J10" s="14"/>
      <c r="K10" s="14"/>
      <c r="M10" s="14"/>
      <c r="N10" s="14"/>
      <c r="O10" s="14"/>
      <c r="P10" s="14"/>
      <c r="R10" s="14"/>
      <c r="S10" s="14"/>
      <c r="T10" s="14"/>
      <c r="U10" s="14"/>
      <c r="W10" s="14"/>
      <c r="X10" s="14"/>
      <c r="Y10" s="14"/>
      <c r="Z10" s="14"/>
      <c r="AB10" s="14"/>
      <c r="AC10" s="14"/>
      <c r="AD10" s="14"/>
      <c r="AE10" s="14"/>
      <c r="AG10" s="14"/>
      <c r="AH10" s="14"/>
      <c r="AI10" s="14"/>
      <c r="AJ10" s="14"/>
      <c r="AL10" s="14"/>
      <c r="AM10" s="14"/>
      <c r="AN10" s="14"/>
      <c r="AO10" s="14"/>
      <c r="AQ10" s="14"/>
      <c r="AR10" s="14"/>
      <c r="AS10" s="14"/>
      <c r="AT10" s="14"/>
      <c r="AV10" s="14"/>
      <c r="AW10" s="14"/>
      <c r="AX10" s="14"/>
      <c r="AY10" s="14"/>
      <c r="BA10" s="14"/>
      <c r="BB10" s="14"/>
      <c r="BC10" s="14"/>
      <c r="BD10" s="14"/>
      <c r="BF10" s="14"/>
      <c r="BG10" s="14"/>
      <c r="BH10" s="14"/>
      <c r="BI10" s="14"/>
      <c r="BK10" s="14"/>
      <c r="BL10" s="14"/>
      <c r="BM10" s="14"/>
      <c r="BN10" s="14"/>
    </row>
    <row r="11" spans="1:66">
      <c r="A11" s="4" t="s">
        <v>143</v>
      </c>
      <c r="C11" s="14">
        <v>1513</v>
      </c>
      <c r="D11" s="14">
        <v>1453</v>
      </c>
      <c r="E11" s="14">
        <v>1329</v>
      </c>
      <c r="F11" s="14">
        <v>1199</v>
      </c>
      <c r="G11" s="16"/>
      <c r="H11" s="14">
        <v>1229</v>
      </c>
      <c r="I11" s="14">
        <v>1172</v>
      </c>
      <c r="J11" s="14">
        <v>1084</v>
      </c>
      <c r="K11" s="14">
        <v>1038</v>
      </c>
      <c r="M11" s="14">
        <v>1112</v>
      </c>
      <c r="N11" s="14">
        <v>1080</v>
      </c>
      <c r="O11" s="14">
        <v>1041</v>
      </c>
      <c r="P11" s="14">
        <v>993</v>
      </c>
      <c r="R11" s="14">
        <v>1127</v>
      </c>
      <c r="S11" s="14">
        <v>1575</v>
      </c>
      <c r="T11" s="14">
        <v>1515</v>
      </c>
      <c r="U11" s="14">
        <v>1465</v>
      </c>
      <c r="W11" s="14">
        <v>1047</v>
      </c>
      <c r="X11" s="14">
        <v>1496</v>
      </c>
      <c r="Y11" s="14">
        <v>1432</v>
      </c>
      <c r="Z11" s="14">
        <v>1373</v>
      </c>
      <c r="AB11" s="14">
        <v>1503</v>
      </c>
      <c r="AC11" s="14">
        <v>1515</v>
      </c>
      <c r="AD11" s="14">
        <v>1557</v>
      </c>
      <c r="AE11" s="14">
        <v>1624</v>
      </c>
      <c r="AG11" s="14">
        <v>1788</v>
      </c>
      <c r="AH11" s="14">
        <v>1909</v>
      </c>
      <c r="AI11" s="14">
        <v>2036</v>
      </c>
      <c r="AJ11" s="14">
        <v>1894</v>
      </c>
      <c r="AL11" s="14">
        <v>2222</v>
      </c>
      <c r="AM11" s="14">
        <v>2352</v>
      </c>
      <c r="AN11" s="14">
        <v>2553</v>
      </c>
      <c r="AO11" s="14">
        <v>2287</v>
      </c>
      <c r="AQ11" s="14">
        <v>2642</v>
      </c>
      <c r="AR11" s="14">
        <v>2693</v>
      </c>
      <c r="AS11" s="14">
        <v>2721</v>
      </c>
      <c r="AT11" s="14">
        <v>2228</v>
      </c>
      <c r="AV11" s="14">
        <v>2320</v>
      </c>
      <c r="AW11" s="14">
        <v>2150</v>
      </c>
      <c r="AX11" s="14">
        <v>2108</v>
      </c>
      <c r="AY11" s="14">
        <v>2195</v>
      </c>
      <c r="BA11" s="14">
        <v>2545</v>
      </c>
      <c r="BB11" s="14">
        <v>2855</v>
      </c>
      <c r="BC11" s="14">
        <v>2897</v>
      </c>
      <c r="BD11" s="14">
        <v>2840</v>
      </c>
      <c r="BF11" s="14">
        <v>3410</v>
      </c>
      <c r="BG11" s="14">
        <v>3232</v>
      </c>
      <c r="BH11" s="14">
        <v>3333</v>
      </c>
      <c r="BI11" s="14">
        <v>2889</v>
      </c>
      <c r="BK11" s="14">
        <v>3325</v>
      </c>
      <c r="BL11" s="14">
        <v>3269</v>
      </c>
      <c r="BM11" s="14"/>
      <c r="BN11" s="14"/>
    </row>
    <row r="12" spans="1:66">
      <c r="A12" s="4" t="s">
        <v>28</v>
      </c>
      <c r="C12" s="14">
        <v>1426</v>
      </c>
      <c r="D12" s="14">
        <v>1480</v>
      </c>
      <c r="E12" s="14">
        <v>1517</v>
      </c>
      <c r="F12" s="14">
        <v>1292</v>
      </c>
      <c r="G12" s="16"/>
      <c r="H12" s="14">
        <v>1269</v>
      </c>
      <c r="I12" s="14">
        <v>1302</v>
      </c>
      <c r="J12" s="14">
        <v>1284</v>
      </c>
      <c r="K12" s="14">
        <v>1120</v>
      </c>
      <c r="M12" s="14">
        <v>1116</v>
      </c>
      <c r="N12" s="14">
        <v>1234</v>
      </c>
      <c r="O12" s="14">
        <v>1233</v>
      </c>
      <c r="P12" s="14">
        <v>1096</v>
      </c>
      <c r="R12" s="14">
        <v>1195</v>
      </c>
      <c r="S12" s="14">
        <v>1728</v>
      </c>
      <c r="T12" s="14">
        <v>1728</v>
      </c>
      <c r="U12" s="14">
        <v>1568</v>
      </c>
      <c r="W12" s="14">
        <v>1290</v>
      </c>
      <c r="X12" s="14">
        <v>1800</v>
      </c>
      <c r="Y12" s="14">
        <v>1796</v>
      </c>
      <c r="Z12" s="14">
        <v>1632</v>
      </c>
      <c r="AB12" s="14">
        <v>1850</v>
      </c>
      <c r="AC12" s="14">
        <v>2024</v>
      </c>
      <c r="AD12" s="14">
        <v>2063</v>
      </c>
      <c r="AE12" s="14">
        <v>2035</v>
      </c>
      <c r="AG12" s="14">
        <v>2214</v>
      </c>
      <c r="AH12" s="14">
        <v>2377</v>
      </c>
      <c r="AI12" s="14">
        <v>2363</v>
      </c>
      <c r="AJ12" s="14">
        <v>2205</v>
      </c>
      <c r="AL12" s="14">
        <v>2587</v>
      </c>
      <c r="AM12" s="14">
        <v>3009</v>
      </c>
      <c r="AN12" s="14">
        <v>2908</v>
      </c>
      <c r="AO12" s="14">
        <v>2819</v>
      </c>
      <c r="AQ12" s="14">
        <v>2948</v>
      </c>
      <c r="AR12" s="14">
        <v>3172</v>
      </c>
      <c r="AS12" s="14">
        <v>3004</v>
      </c>
      <c r="AT12" s="14">
        <v>2798</v>
      </c>
      <c r="AV12" s="14">
        <v>2692</v>
      </c>
      <c r="AW12" s="14">
        <v>2768</v>
      </c>
      <c r="AX12" s="14">
        <v>2789</v>
      </c>
      <c r="AY12" s="14">
        <v>2503</v>
      </c>
      <c r="BA12" s="14">
        <v>2873</v>
      </c>
      <c r="BB12" s="14">
        <v>3321</v>
      </c>
      <c r="BC12" s="14">
        <v>3562</v>
      </c>
      <c r="BD12" s="14">
        <v>3505</v>
      </c>
      <c r="BF12" s="14">
        <v>3985</v>
      </c>
      <c r="BG12" s="14">
        <v>3984</v>
      </c>
      <c r="BH12" s="14">
        <v>3796</v>
      </c>
      <c r="BI12" s="14">
        <v>3761</v>
      </c>
      <c r="BK12" s="14">
        <v>3651</v>
      </c>
      <c r="BL12" s="14">
        <v>3914</v>
      </c>
      <c r="BM12" s="14"/>
      <c r="BN12" s="14"/>
    </row>
    <row r="13" spans="1:66">
      <c r="A13" s="4" t="s">
        <v>190</v>
      </c>
      <c r="C13" s="14"/>
      <c r="D13" s="14"/>
      <c r="E13" s="14"/>
      <c r="F13" s="14"/>
      <c r="G13" s="16"/>
      <c r="H13" s="14"/>
      <c r="I13" s="14"/>
      <c r="J13" s="14"/>
      <c r="K13" s="14"/>
      <c r="M13" s="14"/>
      <c r="N13" s="14"/>
      <c r="O13" s="14"/>
      <c r="P13" s="14"/>
      <c r="R13" s="14"/>
      <c r="S13" s="14"/>
      <c r="T13" s="14"/>
      <c r="U13" s="14"/>
      <c r="W13" s="14"/>
      <c r="X13" s="14"/>
      <c r="Y13" s="14"/>
      <c r="Z13" s="14"/>
      <c r="AB13" s="14"/>
      <c r="AC13" s="14"/>
      <c r="AD13" s="14"/>
      <c r="AE13" s="14"/>
      <c r="AG13" s="14"/>
      <c r="AH13" s="14"/>
      <c r="AI13" s="14"/>
      <c r="AJ13" s="14"/>
      <c r="AL13" s="14"/>
      <c r="AM13" s="14"/>
      <c r="AN13" s="14"/>
      <c r="AO13" s="14"/>
      <c r="AQ13" s="14"/>
      <c r="AR13" s="14"/>
      <c r="AS13" s="14"/>
      <c r="AT13" s="14"/>
      <c r="AV13" s="14"/>
      <c r="AW13" s="14"/>
      <c r="AX13" s="14"/>
      <c r="AY13" s="14"/>
      <c r="BA13" s="14"/>
      <c r="BB13" s="14"/>
      <c r="BC13" s="14"/>
      <c r="BD13" s="14"/>
      <c r="BF13" s="14"/>
      <c r="BG13" s="14"/>
      <c r="BH13" s="14"/>
      <c r="BI13" s="14"/>
      <c r="BK13" s="14">
        <v>571</v>
      </c>
      <c r="BL13" s="14">
        <v>0</v>
      </c>
      <c r="BM13" s="14"/>
      <c r="BN13" s="14"/>
    </row>
    <row r="14" spans="1:66">
      <c r="A14" s="4" t="s">
        <v>29</v>
      </c>
      <c r="C14" s="14">
        <v>265</v>
      </c>
      <c r="D14" s="14">
        <v>113</v>
      </c>
      <c r="E14" s="14">
        <v>113</v>
      </c>
      <c r="F14" s="14">
        <v>113</v>
      </c>
      <c r="G14" s="16"/>
      <c r="H14" s="14">
        <v>90</v>
      </c>
      <c r="I14" s="14">
        <v>94</v>
      </c>
      <c r="J14" s="14">
        <v>92</v>
      </c>
      <c r="K14" s="14">
        <v>94</v>
      </c>
      <c r="M14" s="14">
        <v>2</v>
      </c>
      <c r="N14" s="14">
        <v>0</v>
      </c>
      <c r="O14" s="14">
        <v>0</v>
      </c>
      <c r="P14" s="14">
        <v>101</v>
      </c>
      <c r="R14" s="14">
        <v>104</v>
      </c>
      <c r="S14" s="14">
        <v>43</v>
      </c>
      <c r="T14" s="14">
        <v>40</v>
      </c>
      <c r="U14" s="14">
        <v>57</v>
      </c>
      <c r="W14" s="14">
        <v>104</v>
      </c>
      <c r="X14" s="14">
        <v>42</v>
      </c>
      <c r="Y14" s="14">
        <v>40</v>
      </c>
      <c r="Z14" s="14">
        <v>57</v>
      </c>
      <c r="AB14" s="14">
        <v>44</v>
      </c>
      <c r="AC14" s="14">
        <v>31</v>
      </c>
      <c r="AD14" s="14">
        <v>29</v>
      </c>
      <c r="AE14" s="14">
        <v>28</v>
      </c>
      <c r="AG14" s="14">
        <v>26</v>
      </c>
      <c r="AH14" s="14">
        <v>14</v>
      </c>
      <c r="AI14" s="14">
        <v>14</v>
      </c>
      <c r="AJ14" s="14">
        <v>49</v>
      </c>
      <c r="AL14" s="14">
        <v>37</v>
      </c>
      <c r="AM14" s="14">
        <v>30</v>
      </c>
      <c r="AN14" s="14">
        <v>24</v>
      </c>
      <c r="AO14" s="14">
        <v>18</v>
      </c>
      <c r="AQ14" s="14">
        <v>13</v>
      </c>
      <c r="AR14" s="14">
        <v>0</v>
      </c>
      <c r="AS14" s="14">
        <v>0</v>
      </c>
      <c r="AT14" s="14">
        <v>0</v>
      </c>
      <c r="AV14" s="14">
        <v>0</v>
      </c>
      <c r="AW14" s="14">
        <v>0</v>
      </c>
      <c r="AX14" s="14">
        <v>0</v>
      </c>
      <c r="AY14" s="14">
        <v>0</v>
      </c>
      <c r="BA14" s="14">
        <v>0</v>
      </c>
      <c r="BB14" s="14">
        <v>0</v>
      </c>
      <c r="BC14" s="14">
        <v>0</v>
      </c>
      <c r="BD14" s="14">
        <v>0</v>
      </c>
      <c r="BF14" s="14">
        <v>0</v>
      </c>
      <c r="BG14" s="14">
        <v>0</v>
      </c>
      <c r="BH14" s="14">
        <v>0</v>
      </c>
      <c r="BI14" s="14">
        <v>0</v>
      </c>
      <c r="BK14" s="14">
        <v>0</v>
      </c>
      <c r="BL14" s="14">
        <v>0</v>
      </c>
      <c r="BM14" s="14"/>
      <c r="BN14" s="14"/>
    </row>
    <row r="15" spans="1:66">
      <c r="A15" s="4" t="s">
        <v>30</v>
      </c>
      <c r="C15" s="14">
        <v>3200</v>
      </c>
      <c r="D15" s="14">
        <v>800</v>
      </c>
      <c r="E15" s="14">
        <v>848</v>
      </c>
      <c r="F15" s="14">
        <v>920</v>
      </c>
      <c r="G15" s="16"/>
      <c r="H15" s="14">
        <v>800</v>
      </c>
      <c r="I15" s="14">
        <v>689</v>
      </c>
      <c r="J15" s="14">
        <v>864</v>
      </c>
      <c r="K15" s="14">
        <v>773</v>
      </c>
      <c r="M15" s="14">
        <v>752</v>
      </c>
      <c r="N15" s="14">
        <v>545</v>
      </c>
      <c r="O15" s="14">
        <v>524</v>
      </c>
      <c r="P15" s="14">
        <v>592</v>
      </c>
      <c r="R15" s="14">
        <v>409</v>
      </c>
      <c r="S15" s="14">
        <v>370</v>
      </c>
      <c r="T15" s="14">
        <v>418</v>
      </c>
      <c r="U15" s="14">
        <v>626</v>
      </c>
      <c r="W15" s="14">
        <v>409</v>
      </c>
      <c r="X15" s="14">
        <v>371</v>
      </c>
      <c r="Y15" s="14">
        <v>418</v>
      </c>
      <c r="Z15" s="14">
        <v>625</v>
      </c>
      <c r="AB15" s="14">
        <v>346</v>
      </c>
      <c r="AC15" s="14">
        <v>252</v>
      </c>
      <c r="AD15" s="14">
        <v>228</v>
      </c>
      <c r="AE15" s="14">
        <v>279</v>
      </c>
      <c r="AG15" s="14">
        <v>163</v>
      </c>
      <c r="AH15" s="14">
        <v>456</v>
      </c>
      <c r="AI15" s="14">
        <v>306</v>
      </c>
      <c r="AJ15" s="14">
        <v>1017</v>
      </c>
      <c r="AL15" s="14">
        <v>375</v>
      </c>
      <c r="AM15" s="14">
        <v>287</v>
      </c>
      <c r="AN15" s="14">
        <v>326</v>
      </c>
      <c r="AO15" s="14">
        <v>539</v>
      </c>
      <c r="AQ15" s="14">
        <v>449</v>
      </c>
      <c r="AR15" s="14">
        <v>437</v>
      </c>
      <c r="AS15" s="14">
        <v>406</v>
      </c>
      <c r="AT15" s="14">
        <v>587</v>
      </c>
      <c r="AV15" s="14">
        <v>209</v>
      </c>
      <c r="AW15" s="14">
        <v>215</v>
      </c>
      <c r="AX15" s="14">
        <v>214</v>
      </c>
      <c r="AY15" s="14">
        <v>254</v>
      </c>
      <c r="BA15" s="14">
        <v>206</v>
      </c>
      <c r="BB15" s="14">
        <v>242</v>
      </c>
      <c r="BC15" s="14">
        <v>215</v>
      </c>
      <c r="BD15" s="14">
        <v>247</v>
      </c>
      <c r="BF15" s="14">
        <v>251</v>
      </c>
      <c r="BG15" s="14">
        <v>249</v>
      </c>
      <c r="BH15" s="14">
        <v>206</v>
      </c>
      <c r="BI15" s="14">
        <v>271</v>
      </c>
      <c r="BK15" s="14">
        <v>315</v>
      </c>
      <c r="BL15" s="14">
        <v>243</v>
      </c>
      <c r="BM15" s="14"/>
      <c r="BN15" s="14"/>
    </row>
    <row r="16" spans="1:66">
      <c r="A16" s="4" t="s">
        <v>31</v>
      </c>
      <c r="C16" s="26">
        <f>SUM(C11:C15)</f>
        <v>6404</v>
      </c>
      <c r="D16" s="26">
        <f>SUM(D11:D15)</f>
        <v>3846</v>
      </c>
      <c r="E16" s="26">
        <f>SUM(E11:E15)</f>
        <v>3807</v>
      </c>
      <c r="F16" s="26">
        <f>SUM(F11:F15)</f>
        <v>3524</v>
      </c>
      <c r="G16" s="16"/>
      <c r="H16" s="26">
        <f>SUM(H11:H15)</f>
        <v>3388</v>
      </c>
      <c r="I16" s="26">
        <f>SUM(I11:I15)</f>
        <v>3257</v>
      </c>
      <c r="J16" s="26">
        <f>SUM(J11:J15)</f>
        <v>3324</v>
      </c>
      <c r="K16" s="26">
        <f>SUM(K11:K15)</f>
        <v>3025</v>
      </c>
      <c r="M16" s="26">
        <f>SUM(M11:M15)</f>
        <v>2982</v>
      </c>
      <c r="N16" s="26">
        <f>SUM(N11:N15)</f>
        <v>2859</v>
      </c>
      <c r="O16" s="26">
        <f>SUM(O11:O15)</f>
        <v>2798</v>
      </c>
      <c r="P16" s="26">
        <f>SUM(P11:P15)</f>
        <v>2782</v>
      </c>
      <c r="R16" s="26">
        <f>SUM(R11:R15)</f>
        <v>2835</v>
      </c>
      <c r="S16" s="26">
        <f>SUM(S11:S15)</f>
        <v>3716</v>
      </c>
      <c r="T16" s="26">
        <f>SUM(T11:T15)</f>
        <v>3701</v>
      </c>
      <c r="U16" s="26">
        <f>SUM(U11:U15)</f>
        <v>3716</v>
      </c>
      <c r="W16" s="26">
        <f>SUM(W11:W15)</f>
        <v>2850</v>
      </c>
      <c r="X16" s="26">
        <f>SUM(X11:X15)</f>
        <v>3709</v>
      </c>
      <c r="Y16" s="26">
        <f>SUM(Y11:Y15)</f>
        <v>3686</v>
      </c>
      <c r="Z16" s="26">
        <f>SUM(Z11:Z15)</f>
        <v>3687</v>
      </c>
      <c r="AB16" s="26">
        <f>SUM(AB11:AB15)</f>
        <v>3743</v>
      </c>
      <c r="AC16" s="26">
        <f>SUM(AC11:AC15)</f>
        <v>3822</v>
      </c>
      <c r="AD16" s="26">
        <f>SUM(AD11:AD15)</f>
        <v>3877</v>
      </c>
      <c r="AE16" s="26">
        <f>SUM(AE11:AE15)</f>
        <v>3966</v>
      </c>
      <c r="AG16" s="26">
        <f>SUM(AG11:AG15)</f>
        <v>4191</v>
      </c>
      <c r="AH16" s="26">
        <f>SUM(AH11:AH15)</f>
        <v>4756</v>
      </c>
      <c r="AI16" s="26">
        <f>SUM(AI11:AI15)</f>
        <v>4719</v>
      </c>
      <c r="AJ16" s="26">
        <f>SUM(AJ11:AJ15)</f>
        <v>5165</v>
      </c>
      <c r="AL16" s="26">
        <f>SUM(AL11:AL15)</f>
        <v>5221</v>
      </c>
      <c r="AM16" s="26">
        <f>SUM(AM11:AM15)</f>
        <v>5678</v>
      </c>
      <c r="AN16" s="26">
        <f>SUM(AN11:AN15)</f>
        <v>5811</v>
      </c>
      <c r="AO16" s="26">
        <f>SUM(AO11:AO15)</f>
        <v>5663</v>
      </c>
      <c r="AQ16" s="26">
        <f>SUM(AQ11:AQ15)</f>
        <v>6052</v>
      </c>
      <c r="AR16" s="26">
        <f>SUM(AR11:AR15)</f>
        <v>6302</v>
      </c>
      <c r="AS16" s="26">
        <f>SUM(AS11:AS15)</f>
        <v>6131</v>
      </c>
      <c r="AT16" s="26">
        <f>SUM(AT11:AT15)</f>
        <v>5613</v>
      </c>
      <c r="AV16" s="26">
        <f>SUM(AV11:AV15)</f>
        <v>5221</v>
      </c>
      <c r="AW16" s="26">
        <f>SUM(AW11:AW15)</f>
        <v>5133</v>
      </c>
      <c r="AX16" s="26">
        <f>SUM(AX11:AX15)</f>
        <v>5111</v>
      </c>
      <c r="AY16" s="26">
        <f>SUM(AY11:AY15)</f>
        <v>4952</v>
      </c>
      <c r="BA16" s="26">
        <f>SUM(BA11:BA15)</f>
        <v>5624</v>
      </c>
      <c r="BB16" s="26">
        <f>SUM(BB11:BB15)</f>
        <v>6418</v>
      </c>
      <c r="BC16" s="26">
        <f>SUM(BC11:BC15)</f>
        <v>6674</v>
      </c>
      <c r="BD16" s="26">
        <f>SUM(BD11:BD15)</f>
        <v>6592</v>
      </c>
      <c r="BF16" s="26">
        <f>SUM(BF11:BF15)</f>
        <v>7646</v>
      </c>
      <c r="BG16" s="26">
        <f>SUM(BG11:BG15)</f>
        <v>7465</v>
      </c>
      <c r="BH16" s="26">
        <f>SUM(BH11:BH15)</f>
        <v>7335</v>
      </c>
      <c r="BI16" s="26">
        <f>SUM(BI11:BI15)</f>
        <v>6921</v>
      </c>
      <c r="BK16" s="26">
        <f>SUM(BK11:BK15)</f>
        <v>7862</v>
      </c>
      <c r="BL16" s="26">
        <f>SUM(BL11:BL15)</f>
        <v>7426</v>
      </c>
      <c r="BM16" s="26">
        <f>SUM(BM11:BM15)</f>
        <v>0</v>
      </c>
      <c r="BN16" s="26">
        <f>SUM(BN11:BN15)</f>
        <v>0</v>
      </c>
    </row>
    <row r="17" spans="1:66">
      <c r="C17" s="14"/>
      <c r="D17" s="14"/>
      <c r="E17" s="14"/>
      <c r="F17" s="14"/>
      <c r="G17" s="16"/>
      <c r="H17" s="14"/>
      <c r="I17" s="14"/>
      <c r="J17" s="14"/>
      <c r="K17" s="14"/>
      <c r="M17" s="14"/>
      <c r="N17" s="14"/>
      <c r="O17" s="14"/>
      <c r="P17" s="14"/>
      <c r="R17" s="14"/>
      <c r="S17" s="14"/>
      <c r="T17" s="14"/>
      <c r="U17" s="14"/>
      <c r="W17" s="14"/>
      <c r="X17" s="14"/>
      <c r="Y17" s="14"/>
      <c r="Z17" s="14"/>
      <c r="AB17" s="14"/>
      <c r="AC17" s="14"/>
      <c r="AD17" s="14"/>
      <c r="AE17" s="14"/>
      <c r="AG17" s="14"/>
      <c r="AH17" s="14"/>
      <c r="AI17" s="14"/>
      <c r="AJ17" s="14"/>
      <c r="AL17" s="14"/>
      <c r="AM17" s="14"/>
      <c r="AN17" s="14"/>
      <c r="AO17" s="14"/>
      <c r="AQ17" s="14"/>
      <c r="AR17" s="14"/>
      <c r="AS17" s="14"/>
      <c r="AT17" s="14"/>
      <c r="AV17" s="14"/>
      <c r="AW17" s="14"/>
      <c r="AX17" s="14"/>
      <c r="AY17" s="14"/>
      <c r="BA17" s="14"/>
      <c r="BB17" s="14"/>
      <c r="BC17" s="14"/>
      <c r="BD17" s="14"/>
      <c r="BF17" s="14"/>
      <c r="BG17" s="14"/>
      <c r="BH17" s="14"/>
      <c r="BI17" s="14"/>
      <c r="BK17" s="14"/>
      <c r="BL17" s="14"/>
      <c r="BM17" s="14"/>
      <c r="BN17" s="14"/>
    </row>
    <row r="18" spans="1:66">
      <c r="A18" s="4" t="s">
        <v>32</v>
      </c>
      <c r="C18" s="26">
        <f>C16+C9</f>
        <v>9424</v>
      </c>
      <c r="D18" s="26">
        <f>D16+D9</f>
        <v>6907</v>
      </c>
      <c r="E18" s="26">
        <f>E16+E9</f>
        <v>6714</v>
      </c>
      <c r="F18" s="26">
        <f>F16+F9</f>
        <v>6446</v>
      </c>
      <c r="G18" s="16"/>
      <c r="H18" s="26">
        <f>H16+H9</f>
        <v>6246</v>
      </c>
      <c r="I18" s="26">
        <f>I16+I9</f>
        <v>5992</v>
      </c>
      <c r="J18" s="26">
        <f>J16+J9</f>
        <v>5995</v>
      </c>
      <c r="K18" s="26">
        <f>K16+K9</f>
        <v>5034</v>
      </c>
      <c r="M18" s="26">
        <f>M16+M9</f>
        <v>4941</v>
      </c>
      <c r="N18" s="26">
        <f>N16+N9</f>
        <v>4765</v>
      </c>
      <c r="O18" s="26">
        <f>O16+O9</f>
        <v>4686</v>
      </c>
      <c r="P18" s="26">
        <f>P16+P9</f>
        <v>4663</v>
      </c>
      <c r="R18" s="26">
        <f>R16+R9</f>
        <v>4746</v>
      </c>
      <c r="S18" s="26">
        <f>S16+S9</f>
        <v>6273</v>
      </c>
      <c r="T18" s="26">
        <f>T16+T9</f>
        <v>6093</v>
      </c>
      <c r="U18" s="26">
        <f>U16+U9</f>
        <v>6112</v>
      </c>
      <c r="W18" s="26">
        <f>W16+W9</f>
        <v>4623</v>
      </c>
      <c r="X18" s="26">
        <f>X16+X9</f>
        <v>6024</v>
      </c>
      <c r="Y18" s="26">
        <f>Y16+Y9</f>
        <v>5856</v>
      </c>
      <c r="Z18" s="26">
        <f>Z16+Z9</f>
        <v>5869</v>
      </c>
      <c r="AB18" s="26">
        <f>AB16+AB9</f>
        <v>5922</v>
      </c>
      <c r="AC18" s="26">
        <f>AC16+AC9</f>
        <v>6031</v>
      </c>
      <c r="AD18" s="26">
        <f>AD16+AD9</f>
        <v>6102</v>
      </c>
      <c r="AE18" s="26">
        <f>AE16+AE9</f>
        <v>6177</v>
      </c>
      <c r="AG18" s="26">
        <f>AG16+AG9</f>
        <v>6457</v>
      </c>
      <c r="AH18" s="26">
        <f>AH16+AH9</f>
        <v>6916</v>
      </c>
      <c r="AI18" s="26">
        <f>AI16+AI9</f>
        <v>6890</v>
      </c>
      <c r="AJ18" s="26">
        <f>AJ16+AJ9</f>
        <v>7350</v>
      </c>
      <c r="AL18" s="26">
        <f>AL16+AL9</f>
        <v>7990</v>
      </c>
      <c r="AM18" s="26">
        <f>AM16+AM9</f>
        <v>8588</v>
      </c>
      <c r="AN18" s="26">
        <f>AN16+AN9</f>
        <v>9161</v>
      </c>
      <c r="AO18" s="26">
        <f>AO16+AO9</f>
        <v>9099</v>
      </c>
      <c r="AQ18" s="26">
        <f>AQ16+AQ9</f>
        <v>9655</v>
      </c>
      <c r="AR18" s="26">
        <f>AR16+AR9</f>
        <v>10231</v>
      </c>
      <c r="AS18" s="26">
        <f>AS16+AS9</f>
        <v>10309</v>
      </c>
      <c r="AT18" s="26">
        <f>AT16+AT9</f>
        <v>9935</v>
      </c>
      <c r="AV18" s="26">
        <f>AV16+AV9</f>
        <v>9735</v>
      </c>
      <c r="AW18" s="26">
        <f>AW16+AW9</f>
        <v>9889</v>
      </c>
      <c r="AX18" s="26">
        <f>AX16+AX9</f>
        <v>10093</v>
      </c>
      <c r="AY18" s="26">
        <f>AY16+AY9</f>
        <v>10124</v>
      </c>
      <c r="BA18" s="26">
        <f>BA16+BA9</f>
        <v>11161</v>
      </c>
      <c r="BB18" s="26">
        <f>BB16+BB9</f>
        <v>12134</v>
      </c>
      <c r="BC18" s="26">
        <f>BC16+BC9</f>
        <v>12353</v>
      </c>
      <c r="BD18" s="26">
        <f>BD16+BD9</f>
        <v>12556</v>
      </c>
      <c r="BF18" s="26">
        <f>BF16+BF9</f>
        <v>13660</v>
      </c>
      <c r="BG18" s="26">
        <f>BG16+BG9</f>
        <v>13530</v>
      </c>
      <c r="BH18" s="26">
        <f>BH16+BH9</f>
        <v>13607</v>
      </c>
      <c r="BI18" s="26">
        <f>BI16+BI9</f>
        <v>13439</v>
      </c>
      <c r="BK18" s="26">
        <f>BK16+BK9</f>
        <v>13771</v>
      </c>
      <c r="BL18" s="26">
        <f>BL16+BL9</f>
        <v>13385</v>
      </c>
      <c r="BM18" s="26">
        <f>BM16+BM9</f>
        <v>0</v>
      </c>
      <c r="BN18" s="26">
        <f>BN16+BN9</f>
        <v>0</v>
      </c>
    </row>
    <row r="19" spans="1:66">
      <c r="C19" s="14"/>
      <c r="D19" s="14"/>
      <c r="E19" s="14"/>
      <c r="F19" s="14"/>
      <c r="G19" s="16"/>
      <c r="H19" s="14"/>
      <c r="I19" s="14"/>
      <c r="J19" s="14"/>
      <c r="K19" s="14"/>
      <c r="M19" s="14"/>
      <c r="N19" s="14"/>
      <c r="O19" s="14"/>
      <c r="P19" s="14"/>
      <c r="R19" s="14"/>
      <c r="S19" s="14"/>
      <c r="T19" s="14"/>
      <c r="U19" s="14"/>
      <c r="W19" s="14"/>
      <c r="X19" s="14"/>
      <c r="Y19" s="14"/>
      <c r="Z19" s="14"/>
      <c r="AB19" s="14"/>
      <c r="AC19" s="14"/>
      <c r="AD19" s="14"/>
      <c r="AE19" s="14"/>
      <c r="AG19" s="14"/>
      <c r="AH19" s="14"/>
      <c r="AI19" s="14"/>
      <c r="AJ19" s="14"/>
      <c r="AL19" s="14"/>
      <c r="AM19" s="14"/>
      <c r="AN19" s="14"/>
      <c r="AO19" s="14"/>
      <c r="AQ19" s="14"/>
      <c r="AR19" s="14"/>
      <c r="AS19" s="14"/>
      <c r="AT19" s="14"/>
      <c r="AV19" s="14"/>
      <c r="AW19" s="14"/>
      <c r="AX19" s="14"/>
      <c r="AY19" s="14"/>
      <c r="BA19" s="14"/>
      <c r="BB19" s="14"/>
      <c r="BC19" s="14"/>
      <c r="BD19" s="14"/>
      <c r="BF19" s="14"/>
      <c r="BG19" s="14"/>
      <c r="BH19" s="14"/>
      <c r="BI19" s="14"/>
      <c r="BK19" s="14"/>
      <c r="BL19" s="14"/>
      <c r="BM19" s="14"/>
      <c r="BN19" s="14"/>
    </row>
    <row r="20" spans="1:66">
      <c r="A20" s="24" t="s">
        <v>27</v>
      </c>
      <c r="C20" s="14"/>
      <c r="D20" s="14"/>
      <c r="E20" s="14"/>
      <c r="F20" s="14"/>
      <c r="G20" s="16"/>
      <c r="H20" s="14"/>
      <c r="I20" s="14"/>
      <c r="J20" s="14"/>
      <c r="K20" s="14"/>
      <c r="M20" s="14"/>
      <c r="N20" s="14"/>
      <c r="O20" s="14"/>
      <c r="P20" s="14"/>
      <c r="R20" s="14"/>
      <c r="S20" s="14"/>
      <c r="T20" s="14"/>
      <c r="U20" s="14"/>
      <c r="W20" s="14"/>
      <c r="X20" s="14"/>
      <c r="Y20" s="14"/>
      <c r="Z20" s="14"/>
      <c r="AB20" s="14"/>
      <c r="AC20" s="14"/>
      <c r="AD20" s="14"/>
      <c r="AE20" s="14"/>
      <c r="AG20" s="14"/>
      <c r="AH20" s="14"/>
      <c r="AI20" s="14"/>
      <c r="AJ20" s="14"/>
      <c r="AL20" s="14"/>
      <c r="AM20" s="14"/>
      <c r="AN20" s="14"/>
      <c r="AO20" s="14"/>
      <c r="AQ20" s="14"/>
      <c r="AR20" s="14"/>
      <c r="AS20" s="14"/>
      <c r="AT20" s="14"/>
      <c r="AV20" s="14"/>
      <c r="AW20" s="14"/>
      <c r="AX20" s="14"/>
      <c r="AY20" s="14"/>
      <c r="BA20" s="14"/>
      <c r="BB20" s="14"/>
      <c r="BC20" s="14"/>
      <c r="BD20" s="14"/>
      <c r="BF20" s="14"/>
      <c r="BG20" s="14"/>
      <c r="BH20" s="14"/>
      <c r="BI20" s="14"/>
      <c r="BK20" s="14"/>
      <c r="BL20" s="14"/>
      <c r="BM20" s="14"/>
      <c r="BN20" s="14"/>
    </row>
    <row r="21" spans="1:66">
      <c r="A21" s="4" t="s">
        <v>33</v>
      </c>
      <c r="C21" s="14">
        <f>C42</f>
        <v>6397</v>
      </c>
      <c r="D21" s="14">
        <f>D42</f>
        <v>3894</v>
      </c>
      <c r="E21" s="14">
        <f>E42</f>
        <v>3790</v>
      </c>
      <c r="F21" s="14">
        <f>F42</f>
        <v>3762</v>
      </c>
      <c r="G21" s="16"/>
      <c r="H21" s="14">
        <f>H42</f>
        <v>3741</v>
      </c>
      <c r="I21" s="14">
        <f>I42</f>
        <v>3554</v>
      </c>
      <c r="J21" s="14">
        <f>J42</f>
        <v>3547</v>
      </c>
      <c r="K21" s="14">
        <f>K42</f>
        <v>2898</v>
      </c>
      <c r="M21" s="14">
        <v>2880</v>
      </c>
      <c r="N21" s="14">
        <v>2787</v>
      </c>
      <c r="O21" s="14">
        <v>2815</v>
      </c>
      <c r="P21" s="14">
        <v>2831</v>
      </c>
      <c r="R21" s="14">
        <v>2837</v>
      </c>
      <c r="S21" s="14">
        <v>2689</v>
      </c>
      <c r="T21" s="14">
        <v>2804</v>
      </c>
      <c r="U21" s="14">
        <v>2859</v>
      </c>
      <c r="W21" s="14">
        <v>2721</v>
      </c>
      <c r="X21" s="14">
        <v>2467</v>
      </c>
      <c r="Y21" s="14">
        <v>2603</v>
      </c>
      <c r="Z21" s="14">
        <v>2674</v>
      </c>
      <c r="AB21" s="14">
        <f>2742</f>
        <v>2742</v>
      </c>
      <c r="AC21" s="14">
        <v>2703</v>
      </c>
      <c r="AD21" s="14">
        <v>2573</v>
      </c>
      <c r="AE21" s="14">
        <v>2672</v>
      </c>
      <c r="AG21" s="14">
        <v>2711</v>
      </c>
      <c r="AH21" s="14">
        <v>2526</v>
      </c>
      <c r="AI21" s="14">
        <v>2663</v>
      </c>
      <c r="AJ21" s="14">
        <v>2787</v>
      </c>
      <c r="AL21" s="14">
        <v>2887</v>
      </c>
      <c r="AM21" s="14">
        <v>2847</v>
      </c>
      <c r="AN21" s="14">
        <v>2960</v>
      </c>
      <c r="AO21" s="14">
        <v>3246</v>
      </c>
      <c r="AQ21" s="14">
        <v>3337</v>
      </c>
      <c r="AR21" s="14">
        <v>3355</v>
      </c>
      <c r="AS21" s="14">
        <v>3598</v>
      </c>
      <c r="AT21" s="14">
        <v>3427</v>
      </c>
      <c r="AV21" s="14">
        <v>3451</v>
      </c>
      <c r="AW21" s="14">
        <v>3507.9</v>
      </c>
      <c r="AX21" s="14">
        <v>3538</v>
      </c>
      <c r="AY21" s="14">
        <v>3719</v>
      </c>
      <c r="BA21" s="14">
        <v>3810</v>
      </c>
      <c r="BB21" s="14">
        <v>4030</v>
      </c>
      <c r="BC21" s="14">
        <v>3992</v>
      </c>
      <c r="BD21" s="14">
        <v>4105</v>
      </c>
      <c r="BF21" s="14">
        <v>3989</v>
      </c>
      <c r="BG21" s="14">
        <v>3983</v>
      </c>
      <c r="BH21" s="14">
        <v>4000</v>
      </c>
      <c r="BI21" s="14">
        <v>4060</v>
      </c>
      <c r="BK21" s="14">
        <v>4116</v>
      </c>
      <c r="BL21" s="14">
        <v>5552</v>
      </c>
      <c r="BM21" s="14"/>
      <c r="BN21" s="14"/>
    </row>
    <row r="22" spans="1:66">
      <c r="A22" s="4" t="s">
        <v>8</v>
      </c>
      <c r="C22" s="14">
        <v>243</v>
      </c>
      <c r="D22" s="14">
        <v>243</v>
      </c>
      <c r="E22" s="14">
        <v>226</v>
      </c>
      <c r="F22" s="14">
        <v>222</v>
      </c>
      <c r="G22" s="16"/>
      <c r="H22" s="14">
        <v>197</v>
      </c>
      <c r="I22" s="14">
        <v>189</v>
      </c>
      <c r="J22" s="14">
        <v>176</v>
      </c>
      <c r="K22" s="14">
        <v>135</v>
      </c>
      <c r="M22" s="14">
        <v>129</v>
      </c>
      <c r="N22" s="14">
        <v>129</v>
      </c>
      <c r="O22" s="14">
        <v>136</v>
      </c>
      <c r="P22" s="14">
        <v>126</v>
      </c>
      <c r="R22" s="14">
        <v>148</v>
      </c>
      <c r="S22" s="14">
        <v>150</v>
      </c>
      <c r="T22" s="14">
        <v>147</v>
      </c>
      <c r="U22" s="14">
        <v>141</v>
      </c>
      <c r="W22" s="20">
        <v>62</v>
      </c>
      <c r="X22" s="20">
        <v>67</v>
      </c>
      <c r="Y22" s="20">
        <v>71</v>
      </c>
      <c r="Z22" s="20">
        <v>76</v>
      </c>
      <c r="AB22" s="20">
        <v>58</v>
      </c>
      <c r="AC22" s="20">
        <v>59</v>
      </c>
      <c r="AD22" s="20">
        <v>63</v>
      </c>
      <c r="AE22" s="20">
        <v>63</v>
      </c>
      <c r="AG22" s="20">
        <v>64</v>
      </c>
      <c r="AH22" s="20">
        <v>71</v>
      </c>
      <c r="AI22" s="20">
        <v>14</v>
      </c>
      <c r="AJ22" s="20">
        <v>19</v>
      </c>
      <c r="AL22" s="20">
        <v>20</v>
      </c>
      <c r="AM22" s="20">
        <v>25</v>
      </c>
      <c r="AN22" s="20">
        <v>29</v>
      </c>
      <c r="AO22" s="20">
        <v>37</v>
      </c>
      <c r="AQ22" s="20">
        <v>39</v>
      </c>
      <c r="AR22" s="20">
        <v>42</v>
      </c>
      <c r="AS22" s="20">
        <v>46</v>
      </c>
      <c r="AT22" s="20">
        <v>38</v>
      </c>
      <c r="AV22" s="20">
        <v>32</v>
      </c>
      <c r="AW22" s="20">
        <v>34.4</v>
      </c>
      <c r="AX22" s="20">
        <v>41</v>
      </c>
      <c r="AY22" s="20">
        <v>21</v>
      </c>
      <c r="BA22" s="20">
        <v>22</v>
      </c>
      <c r="BB22" s="20">
        <v>23</v>
      </c>
      <c r="BC22" s="20">
        <v>7</v>
      </c>
      <c r="BD22" s="20">
        <v>7</v>
      </c>
      <c r="BF22" s="20">
        <v>5</v>
      </c>
      <c r="BG22" s="20">
        <v>6</v>
      </c>
      <c r="BH22" s="20">
        <v>6</v>
      </c>
      <c r="BI22" s="20">
        <v>6</v>
      </c>
      <c r="BK22" s="20">
        <v>6</v>
      </c>
      <c r="BL22" s="20">
        <v>6</v>
      </c>
      <c r="BM22" s="20"/>
      <c r="BN22" s="20"/>
    </row>
    <row r="23" spans="1:66">
      <c r="A23" s="4" t="s">
        <v>75</v>
      </c>
      <c r="C23" s="14"/>
      <c r="D23" s="14"/>
      <c r="E23" s="14"/>
      <c r="F23" s="14"/>
      <c r="G23" s="16"/>
      <c r="H23" s="14"/>
      <c r="I23" s="14"/>
      <c r="J23" s="14"/>
      <c r="K23" s="14"/>
      <c r="M23" s="14"/>
      <c r="N23" s="14"/>
      <c r="O23" s="14"/>
      <c r="P23" s="14"/>
      <c r="R23" s="14"/>
      <c r="S23" s="14"/>
      <c r="T23" s="14"/>
      <c r="U23" s="14"/>
      <c r="W23" s="14">
        <f>SUM(W21:W22)</f>
        <v>2783</v>
      </c>
      <c r="X23" s="14">
        <f>SUM(X21:X22)</f>
        <v>2534</v>
      </c>
      <c r="Y23" s="14">
        <f>SUM(Y21:Y22)</f>
        <v>2674</v>
      </c>
      <c r="Z23" s="14">
        <f>SUM(Z21:Z22)</f>
        <v>2750</v>
      </c>
      <c r="AB23" s="14">
        <f>SUM(AB21:AB22)</f>
        <v>2800</v>
      </c>
      <c r="AC23" s="14">
        <f>SUM(AC21:AC22)</f>
        <v>2762</v>
      </c>
      <c r="AD23" s="14">
        <f>SUM(AD21:AD22)</f>
        <v>2636</v>
      </c>
      <c r="AE23" s="14">
        <f>SUM(AE21:AE22)</f>
        <v>2735</v>
      </c>
      <c r="AG23" s="14">
        <f>SUM(AG21:AG22)</f>
        <v>2775</v>
      </c>
      <c r="AH23" s="14">
        <f>SUM(AH21:AH22)</f>
        <v>2597</v>
      </c>
      <c r="AI23" s="14">
        <f>SUM(AI21:AI22)</f>
        <v>2677</v>
      </c>
      <c r="AJ23" s="14">
        <f>SUM(AJ21:AJ22)</f>
        <v>2806</v>
      </c>
      <c r="AL23" s="14">
        <f>SUM(AL21:AL22)</f>
        <v>2907</v>
      </c>
      <c r="AM23" s="14">
        <f>SUM(AM21:AM22)</f>
        <v>2872</v>
      </c>
      <c r="AN23" s="14">
        <f>SUM(AN21:AN22)</f>
        <v>2989</v>
      </c>
      <c r="AO23" s="14">
        <f>SUM(AO21:AO22)</f>
        <v>3283</v>
      </c>
      <c r="AQ23" s="14">
        <f>SUM(AQ21:AQ22)</f>
        <v>3376</v>
      </c>
      <c r="AR23" s="14">
        <f>SUM(AR21:AR22)</f>
        <v>3397</v>
      </c>
      <c r="AS23" s="14">
        <f>SUM(AS21:AS22)</f>
        <v>3644</v>
      </c>
      <c r="AT23" s="14">
        <f>SUM(AT21:AT22)</f>
        <v>3465</v>
      </c>
      <c r="AV23" s="14">
        <f>SUM(AV21:AV22)</f>
        <v>3483</v>
      </c>
      <c r="AW23" s="14">
        <f>SUM(AW21:AW22)</f>
        <v>3542.3</v>
      </c>
      <c r="AX23" s="14">
        <f>SUM(AX21:AX22)</f>
        <v>3579</v>
      </c>
      <c r="AY23" s="14">
        <f>SUM(AY21:AY22)</f>
        <v>3740</v>
      </c>
      <c r="BA23" s="14">
        <f>SUM(BA21:BA22)</f>
        <v>3832</v>
      </c>
      <c r="BB23" s="14">
        <f>SUM(BB21:BB22)</f>
        <v>4053</v>
      </c>
      <c r="BC23" s="14">
        <f>SUM(BC21:BC22)</f>
        <v>3999</v>
      </c>
      <c r="BD23" s="14">
        <f>SUM(BD21:BD22)</f>
        <v>4112</v>
      </c>
      <c r="BF23" s="14">
        <f>SUM(BF21:BF22)</f>
        <v>3994</v>
      </c>
      <c r="BG23" s="14">
        <f>SUM(BG21:BG22)</f>
        <v>3989</v>
      </c>
      <c r="BH23" s="14">
        <f>SUM(BH21:BH22)</f>
        <v>4006</v>
      </c>
      <c r="BI23" s="14">
        <f>SUM(BI21:BI22)</f>
        <v>4066</v>
      </c>
      <c r="BK23" s="14">
        <f>SUM(BK21:BK22)</f>
        <v>4122</v>
      </c>
      <c r="BL23" s="14">
        <f>SUM(BL21:BL22)</f>
        <v>5558</v>
      </c>
      <c r="BM23" s="14"/>
      <c r="BN23" s="14"/>
    </row>
    <row r="24" spans="1:66">
      <c r="A24" s="4" t="s">
        <v>81</v>
      </c>
      <c r="C24" s="14">
        <v>505</v>
      </c>
      <c r="D24" s="14">
        <v>477</v>
      </c>
      <c r="E24" s="14">
        <v>478</v>
      </c>
      <c r="F24" s="14">
        <v>418</v>
      </c>
      <c r="G24" s="16"/>
      <c r="H24" s="14">
        <v>380</v>
      </c>
      <c r="I24" s="14">
        <v>369</v>
      </c>
      <c r="J24" s="14">
        <v>372</v>
      </c>
      <c r="K24" s="14">
        <v>356</v>
      </c>
      <c r="M24" s="14">
        <v>352</v>
      </c>
      <c r="N24" s="14">
        <v>341</v>
      </c>
      <c r="O24" s="14">
        <v>340</v>
      </c>
      <c r="P24" s="14">
        <v>327</v>
      </c>
      <c r="R24" s="14">
        <v>329</v>
      </c>
      <c r="S24" s="14">
        <v>542</v>
      </c>
      <c r="T24" s="14">
        <v>530</v>
      </c>
      <c r="U24" s="14">
        <v>498</v>
      </c>
      <c r="W24" s="54">
        <f>6+269+49</f>
        <v>324</v>
      </c>
      <c r="X24" s="14">
        <f>7+283+13</f>
        <v>303</v>
      </c>
      <c r="Y24" s="14">
        <f>7+283+14</f>
        <v>304</v>
      </c>
      <c r="Z24" s="14">
        <v>300</v>
      </c>
      <c r="AB24" s="54">
        <f>8+284+14</f>
        <v>306</v>
      </c>
      <c r="AC24" s="14">
        <f>9+283+16</f>
        <v>308</v>
      </c>
      <c r="AD24" s="14">
        <v>307</v>
      </c>
      <c r="AE24" s="14">
        <v>315</v>
      </c>
      <c r="AG24" s="54">
        <v>325</v>
      </c>
      <c r="AH24" s="14">
        <v>329</v>
      </c>
      <c r="AI24" s="14">
        <v>322</v>
      </c>
      <c r="AJ24" s="14">
        <v>317</v>
      </c>
      <c r="AL24" s="54">
        <v>346</v>
      </c>
      <c r="AM24" s="14">
        <v>376</v>
      </c>
      <c r="AN24" s="14">
        <v>463</v>
      </c>
      <c r="AO24" s="14">
        <v>474</v>
      </c>
      <c r="AQ24" s="54">
        <v>509</v>
      </c>
      <c r="AR24" s="14">
        <v>515</v>
      </c>
      <c r="AS24" s="14">
        <f>125+286+98</f>
        <v>509</v>
      </c>
      <c r="AT24" s="14">
        <f>91+280+123</f>
        <v>494</v>
      </c>
      <c r="AV24" s="14">
        <v>493</v>
      </c>
      <c r="AW24" s="14">
        <f>369.9+144.2</f>
        <v>514.09999999999991</v>
      </c>
      <c r="AX24" s="14">
        <v>528</v>
      </c>
      <c r="AY24" s="14">
        <v>551</v>
      </c>
      <c r="BA24" s="14">
        <f>147+286+42</f>
        <v>475</v>
      </c>
      <c r="BB24" s="14">
        <v>548</v>
      </c>
      <c r="BC24" s="14">
        <v>573</v>
      </c>
      <c r="BD24" s="14">
        <v>583</v>
      </c>
      <c r="BF24" s="14">
        <v>552</v>
      </c>
      <c r="BG24" s="14">
        <v>507</v>
      </c>
      <c r="BH24" s="14">
        <v>471</v>
      </c>
      <c r="BI24" s="14">
        <v>608</v>
      </c>
      <c r="BK24" s="14">
        <v>563</v>
      </c>
      <c r="BL24" s="14">
        <v>534</v>
      </c>
      <c r="BM24" s="14"/>
      <c r="BN24" s="14"/>
    </row>
    <row r="25" spans="1:66">
      <c r="A25" s="4" t="s">
        <v>184</v>
      </c>
      <c r="C25" s="14">
        <v>594</v>
      </c>
      <c r="D25" s="14">
        <v>600</v>
      </c>
      <c r="E25" s="14">
        <v>572</v>
      </c>
      <c r="F25" s="14">
        <v>510</v>
      </c>
      <c r="G25" s="16"/>
      <c r="H25" s="14">
        <v>407</v>
      </c>
      <c r="I25" s="14">
        <v>376</v>
      </c>
      <c r="J25" s="14">
        <v>377</v>
      </c>
      <c r="K25" s="14">
        <v>56</v>
      </c>
      <c r="M25" s="14">
        <v>58</v>
      </c>
      <c r="N25" s="14">
        <v>46</v>
      </c>
      <c r="O25" s="14">
        <v>49</v>
      </c>
      <c r="P25" s="14">
        <v>45</v>
      </c>
      <c r="R25" s="14">
        <v>45</v>
      </c>
      <c r="S25" s="14">
        <v>270</v>
      </c>
      <c r="T25" s="14">
        <v>777</v>
      </c>
      <c r="U25" s="14">
        <v>735</v>
      </c>
      <c r="W25" s="14">
        <v>45</v>
      </c>
      <c r="X25" s="14">
        <v>270</v>
      </c>
      <c r="Y25" s="14">
        <v>777</v>
      </c>
      <c r="Z25" s="14">
        <v>735</v>
      </c>
      <c r="AB25" s="14">
        <v>760</v>
      </c>
      <c r="AC25" s="14">
        <v>727</v>
      </c>
      <c r="AD25" s="14">
        <v>1014</v>
      </c>
      <c r="AE25" s="14">
        <v>981</v>
      </c>
      <c r="AG25" s="14">
        <v>981</v>
      </c>
      <c r="AH25" s="14">
        <v>980</v>
      </c>
      <c r="AI25" s="14">
        <v>980</v>
      </c>
      <c r="AJ25" s="14">
        <v>1477</v>
      </c>
      <c r="AL25" s="14">
        <v>1713</v>
      </c>
      <c r="AM25" s="14">
        <v>1721</v>
      </c>
      <c r="AN25" s="14">
        <v>1718</v>
      </c>
      <c r="AO25" s="14">
        <v>1343</v>
      </c>
      <c r="AQ25" s="14">
        <v>1410</v>
      </c>
      <c r="AR25" s="14">
        <v>1462</v>
      </c>
      <c r="AS25" s="14">
        <v>1436</v>
      </c>
      <c r="AT25" s="14">
        <v>1315</v>
      </c>
      <c r="AV25" s="14">
        <v>1230</v>
      </c>
      <c r="AW25" s="14">
        <v>1907</v>
      </c>
      <c r="AX25" s="14">
        <v>2166</v>
      </c>
      <c r="AY25" s="14">
        <v>1947</v>
      </c>
      <c r="BA25" s="14">
        <v>2352</v>
      </c>
      <c r="BB25" s="14">
        <v>2722</v>
      </c>
      <c r="BC25" s="14">
        <v>2868</v>
      </c>
      <c r="BD25" s="14">
        <v>3452</v>
      </c>
      <c r="BF25" s="14">
        <v>4098</v>
      </c>
      <c r="BG25" s="14">
        <v>4158</v>
      </c>
      <c r="BH25" s="14">
        <v>3671</v>
      </c>
      <c r="BI25" s="14">
        <v>3558</v>
      </c>
      <c r="BK25" s="14">
        <v>3874</v>
      </c>
      <c r="BL25" s="14">
        <v>1895</v>
      </c>
      <c r="BM25" s="14"/>
      <c r="BN25" s="14"/>
    </row>
    <row r="26" spans="1:66">
      <c r="A26" s="4" t="s">
        <v>185</v>
      </c>
      <c r="C26" s="14">
        <v>594</v>
      </c>
      <c r="D26" s="14">
        <v>533</v>
      </c>
      <c r="E26" s="14">
        <v>497</v>
      </c>
      <c r="F26" s="14">
        <v>450</v>
      </c>
      <c r="G26" s="16"/>
      <c r="H26" s="14">
        <v>472</v>
      </c>
      <c r="I26" s="14">
        <v>460</v>
      </c>
      <c r="J26" s="14">
        <v>471</v>
      </c>
      <c r="K26" s="14">
        <v>412</v>
      </c>
      <c r="M26" s="14">
        <v>387</v>
      </c>
      <c r="N26" s="14">
        <v>353</v>
      </c>
      <c r="O26" s="14">
        <v>245</v>
      </c>
      <c r="P26" s="14">
        <v>245</v>
      </c>
      <c r="R26" s="14">
        <v>252</v>
      </c>
      <c r="S26" s="14">
        <v>1091</v>
      </c>
      <c r="T26" s="14">
        <v>316</v>
      </c>
      <c r="U26" s="14">
        <v>282</v>
      </c>
      <c r="W26" s="14">
        <v>236</v>
      </c>
      <c r="X26" s="14">
        <v>1052</v>
      </c>
      <c r="Y26" s="14">
        <v>268</v>
      </c>
      <c r="Z26" s="14">
        <v>223</v>
      </c>
      <c r="AB26" s="14">
        <v>184</v>
      </c>
      <c r="AC26" s="14">
        <v>269</v>
      </c>
      <c r="AD26" s="14">
        <v>241</v>
      </c>
      <c r="AE26" s="14">
        <v>218</v>
      </c>
      <c r="AG26" s="14">
        <v>474</v>
      </c>
      <c r="AH26" s="14">
        <v>774</v>
      </c>
      <c r="AI26" s="14">
        <v>572</v>
      </c>
      <c r="AJ26" s="14">
        <v>624</v>
      </c>
      <c r="AL26" s="14">
        <v>661</v>
      </c>
      <c r="AM26" s="14">
        <v>889</v>
      </c>
      <c r="AN26" s="14">
        <v>937</v>
      </c>
      <c r="AO26" s="14">
        <v>1205</v>
      </c>
      <c r="AQ26" s="14">
        <v>1266</v>
      </c>
      <c r="AR26" s="14">
        <v>1741</v>
      </c>
      <c r="AS26" s="14">
        <v>1664</v>
      </c>
      <c r="AT26" s="14">
        <v>1415</v>
      </c>
      <c r="AV26" s="14">
        <v>1243</v>
      </c>
      <c r="AW26" s="14">
        <v>826</v>
      </c>
      <c r="AX26" s="14">
        <v>619</v>
      </c>
      <c r="AY26" s="14">
        <v>926</v>
      </c>
      <c r="BA26" s="14">
        <v>1131</v>
      </c>
      <c r="BB26" s="14">
        <v>1338</v>
      </c>
      <c r="BC26" s="14">
        <v>1491</v>
      </c>
      <c r="BD26" s="14">
        <v>957</v>
      </c>
      <c r="BF26" s="14">
        <v>1031</v>
      </c>
      <c r="BG26" s="14">
        <v>1085</v>
      </c>
      <c r="BH26" s="14">
        <v>1227</v>
      </c>
      <c r="BI26" s="14">
        <v>1203</v>
      </c>
      <c r="BK26" s="14">
        <v>1008</v>
      </c>
      <c r="BL26" s="14">
        <v>1085</v>
      </c>
      <c r="BM26" s="14"/>
      <c r="BN26" s="14"/>
    </row>
    <row r="27" spans="1:66">
      <c r="A27" s="4" t="s">
        <v>144</v>
      </c>
      <c r="C27" s="14">
        <v>1091</v>
      </c>
      <c r="D27" s="14">
        <v>1160</v>
      </c>
      <c r="E27" s="14">
        <v>1153</v>
      </c>
      <c r="F27" s="14">
        <v>1084</v>
      </c>
      <c r="G27" s="16"/>
      <c r="H27" s="14">
        <v>1049</v>
      </c>
      <c r="I27" s="14">
        <v>1044</v>
      </c>
      <c r="J27" s="14">
        <v>1052</v>
      </c>
      <c r="K27" s="14">
        <v>1177</v>
      </c>
      <c r="M27" s="14">
        <v>1135</v>
      </c>
      <c r="N27" s="14">
        <v>1109</v>
      </c>
      <c r="O27" s="14">
        <v>1101</v>
      </c>
      <c r="P27" s="14">
        <v>1089</v>
      </c>
      <c r="R27" s="14">
        <v>1135</v>
      </c>
      <c r="S27" s="14">
        <v>1531</v>
      </c>
      <c r="T27" s="14">
        <v>1519</v>
      </c>
      <c r="U27" s="14">
        <v>1597</v>
      </c>
      <c r="W27" s="14">
        <v>1235</v>
      </c>
      <c r="X27" s="14">
        <v>1865</v>
      </c>
      <c r="Y27" s="14">
        <v>1833</v>
      </c>
      <c r="Z27" s="14">
        <v>1861</v>
      </c>
      <c r="AB27" s="14">
        <v>1872</v>
      </c>
      <c r="AC27" s="14">
        <v>1965</v>
      </c>
      <c r="AD27" s="14">
        <v>1904</v>
      </c>
      <c r="AE27" s="14">
        <v>1928</v>
      </c>
      <c r="AG27" s="14">
        <v>1902</v>
      </c>
      <c r="AH27" s="14">
        <v>2236</v>
      </c>
      <c r="AI27" s="14">
        <v>2339</v>
      </c>
      <c r="AJ27" s="14">
        <v>2126</v>
      </c>
      <c r="AL27" s="14">
        <v>2363</v>
      </c>
      <c r="AM27" s="14">
        <v>2730</v>
      </c>
      <c r="AN27" s="14">
        <v>3054</v>
      </c>
      <c r="AO27" s="14">
        <f>1126+1668</f>
        <v>2794</v>
      </c>
      <c r="AQ27" s="14">
        <v>3094</v>
      </c>
      <c r="AR27" s="14">
        <v>3116</v>
      </c>
      <c r="AS27" s="14">
        <v>3056</v>
      </c>
      <c r="AT27" s="14">
        <f>2998+109+139</f>
        <v>3246</v>
      </c>
      <c r="AV27" s="14">
        <v>3286</v>
      </c>
      <c r="AW27" s="14">
        <f>117.2+984.1+1998.2</f>
        <v>3099.5</v>
      </c>
      <c r="AX27" s="14">
        <v>3201</v>
      </c>
      <c r="AY27" s="14">
        <v>2960</v>
      </c>
      <c r="BA27" s="14">
        <v>3371</v>
      </c>
      <c r="BB27" s="14">
        <v>3473</v>
      </c>
      <c r="BC27" s="14">
        <v>3422</v>
      </c>
      <c r="BD27" s="14">
        <v>3452</v>
      </c>
      <c r="BF27" s="14">
        <v>3985</v>
      </c>
      <c r="BG27" s="14">
        <v>3791</v>
      </c>
      <c r="BH27" s="14">
        <v>4232</v>
      </c>
      <c r="BI27" s="14">
        <v>4004</v>
      </c>
      <c r="BK27" s="14">
        <v>4204</v>
      </c>
      <c r="BL27" s="14">
        <v>4313</v>
      </c>
      <c r="BM27" s="14"/>
      <c r="BN27" s="14"/>
    </row>
    <row r="28" spans="1:66">
      <c r="A28" s="4" t="s">
        <v>145</v>
      </c>
      <c r="C28" s="26">
        <f>SUM(C21:C27)</f>
        <v>9424</v>
      </c>
      <c r="D28" s="26">
        <f>SUM(D21:D27)</f>
        <v>6907</v>
      </c>
      <c r="E28" s="26">
        <f>SUM(E21:E27)</f>
        <v>6716</v>
      </c>
      <c r="F28" s="26">
        <f>SUM(F21:F27)</f>
        <v>6446</v>
      </c>
      <c r="G28" s="16"/>
      <c r="H28" s="26">
        <f>SUM(H21:H27)</f>
        <v>6246</v>
      </c>
      <c r="I28" s="26">
        <f>SUM(I21:I27)</f>
        <v>5992</v>
      </c>
      <c r="J28" s="26">
        <f>SUM(J21:J27)</f>
        <v>5995</v>
      </c>
      <c r="K28" s="26">
        <f>SUM(K21:K27)</f>
        <v>5034</v>
      </c>
      <c r="M28" s="26">
        <f>SUM(M21:M27)</f>
        <v>4941</v>
      </c>
      <c r="N28" s="26">
        <f>SUM(N21:N27)</f>
        <v>4765</v>
      </c>
      <c r="O28" s="26">
        <f>SUM(O21:O27)</f>
        <v>4686</v>
      </c>
      <c r="P28" s="26">
        <f>SUM(P21:P27)</f>
        <v>4663</v>
      </c>
      <c r="R28" s="26">
        <f>SUM(R21:R27)</f>
        <v>4746</v>
      </c>
      <c r="S28" s="26">
        <f>SUM(S21:S27)</f>
        <v>6273</v>
      </c>
      <c r="T28" s="26">
        <f>SUM(T21:T27)</f>
        <v>6093</v>
      </c>
      <c r="U28" s="26">
        <f>SUM(U21:U27)</f>
        <v>6112</v>
      </c>
      <c r="W28" s="26">
        <f>SUM(W23:W27)</f>
        <v>4623</v>
      </c>
      <c r="X28" s="26">
        <f>SUM(X23:X27)</f>
        <v>6024</v>
      </c>
      <c r="Y28" s="26">
        <f>SUM(Y23:Y27)</f>
        <v>5856</v>
      </c>
      <c r="Z28" s="26">
        <f>SUM(Z23:Z27)</f>
        <v>5869</v>
      </c>
      <c r="AB28" s="26">
        <f>SUM(AB23:AB27)</f>
        <v>5922</v>
      </c>
      <c r="AC28" s="26">
        <f>SUM(AC23:AC27)</f>
        <v>6031</v>
      </c>
      <c r="AD28" s="26">
        <f>SUM(AD23:AD27)</f>
        <v>6102</v>
      </c>
      <c r="AE28" s="26">
        <f>SUM(AE23:AE27)</f>
        <v>6177</v>
      </c>
      <c r="AG28" s="26">
        <f>SUM(AG23:AG27)</f>
        <v>6457</v>
      </c>
      <c r="AH28" s="26">
        <f>SUM(AH23:AH27)</f>
        <v>6916</v>
      </c>
      <c r="AI28" s="26">
        <f>SUM(AI23:AI27)</f>
        <v>6890</v>
      </c>
      <c r="AJ28" s="26">
        <f>SUM(AJ23:AJ27)</f>
        <v>7350</v>
      </c>
      <c r="AL28" s="26">
        <f>SUM(AL23:AL27)</f>
        <v>7990</v>
      </c>
      <c r="AM28" s="26">
        <f>SUM(AM23:AM27)</f>
        <v>8588</v>
      </c>
      <c r="AN28" s="26">
        <f>SUM(AN23:AN27)</f>
        <v>9161</v>
      </c>
      <c r="AO28" s="26">
        <f>SUM(AO23:AO27)</f>
        <v>9099</v>
      </c>
      <c r="AQ28" s="26">
        <f>SUM(AQ23:AQ27)</f>
        <v>9655</v>
      </c>
      <c r="AR28" s="26">
        <f>SUM(AR23:AR27)</f>
        <v>10231</v>
      </c>
      <c r="AS28" s="26">
        <f>SUM(AS23:AS27)</f>
        <v>10309</v>
      </c>
      <c r="AT28" s="26">
        <f>SUM(AT23:AT27)</f>
        <v>9935</v>
      </c>
      <c r="AV28" s="26">
        <f>SUM(AV23:AV27)</f>
        <v>9735</v>
      </c>
      <c r="AW28" s="26">
        <f>SUM(AW23:AW27)</f>
        <v>9888.9</v>
      </c>
      <c r="AX28" s="26">
        <f>SUM(AX23:AX27)</f>
        <v>10093</v>
      </c>
      <c r="AY28" s="26">
        <f>SUM(AY23:AY27)</f>
        <v>10124</v>
      </c>
      <c r="BA28" s="26">
        <f>SUM(BA23:BA27)</f>
        <v>11161</v>
      </c>
      <c r="BB28" s="26">
        <f>SUM(BB23:BB27)</f>
        <v>12134</v>
      </c>
      <c r="BC28" s="26">
        <f>SUM(BC23:BC27)</f>
        <v>12353</v>
      </c>
      <c r="BD28" s="26">
        <f>SUM(BD23:BD27)</f>
        <v>12556</v>
      </c>
      <c r="BF28" s="26">
        <f>SUM(BF23:BF27)</f>
        <v>13660</v>
      </c>
      <c r="BG28" s="26">
        <f>SUM(BG23:BG27)</f>
        <v>13530</v>
      </c>
      <c r="BH28" s="26">
        <f>SUM(BH23:BH27)</f>
        <v>13607</v>
      </c>
      <c r="BI28" s="26">
        <f>SUM(BI23:BI27)</f>
        <v>13439</v>
      </c>
      <c r="BK28" s="26">
        <f>SUM(BK23:BK27)</f>
        <v>13771</v>
      </c>
      <c r="BL28" s="26">
        <f>SUM(BL23:BL27)</f>
        <v>13385</v>
      </c>
      <c r="BM28" s="26">
        <f>SUM(BM23:BM27)</f>
        <v>0</v>
      </c>
      <c r="BN28" s="26">
        <f>SUM(BN23:BN27)</f>
        <v>0</v>
      </c>
    </row>
    <row r="29" spans="1:66">
      <c r="C29" s="25"/>
      <c r="D29" s="25"/>
      <c r="E29" s="25"/>
      <c r="F29" s="25"/>
      <c r="H29" s="25"/>
      <c r="I29" s="25"/>
      <c r="J29" s="25"/>
      <c r="K29" s="25"/>
      <c r="M29" s="25"/>
      <c r="N29" s="25"/>
      <c r="O29" s="25"/>
      <c r="P29" s="25"/>
      <c r="R29" s="25"/>
      <c r="S29" s="25"/>
      <c r="T29" s="25"/>
      <c r="U29" s="48"/>
      <c r="W29" s="25"/>
      <c r="X29" s="25"/>
      <c r="Y29" s="25"/>
      <c r="Z29" s="48"/>
      <c r="AB29" s="25"/>
      <c r="AC29" s="25"/>
      <c r="AD29" s="25"/>
      <c r="AE29" s="48"/>
      <c r="AG29" s="25"/>
      <c r="AH29" s="25"/>
      <c r="AI29" s="25"/>
      <c r="AJ29" s="48"/>
      <c r="AL29" s="25"/>
      <c r="AM29" s="25"/>
      <c r="AN29" s="25"/>
      <c r="AO29" s="48"/>
      <c r="AQ29" s="25"/>
      <c r="AR29" s="25"/>
      <c r="AS29" s="25"/>
      <c r="AT29" s="48"/>
      <c r="AV29" s="25"/>
      <c r="AW29" s="25"/>
      <c r="AX29" s="25"/>
      <c r="AY29" s="48"/>
      <c r="BA29" s="25"/>
      <c r="BB29" s="25"/>
      <c r="BC29" s="25"/>
      <c r="BD29" s="48"/>
      <c r="BF29" s="25"/>
      <c r="BG29" s="48"/>
      <c r="BH29" s="25"/>
      <c r="BI29" s="48"/>
      <c r="BK29" s="25"/>
      <c r="BL29" s="48"/>
      <c r="BM29" s="25"/>
      <c r="BN29" s="48"/>
    </row>
    <row r="30" spans="1:66">
      <c r="C30" s="25"/>
      <c r="D30" s="25"/>
      <c r="E30" s="25"/>
      <c r="F30" s="25"/>
      <c r="H30" s="25"/>
      <c r="I30" s="25"/>
      <c r="J30" s="25"/>
      <c r="K30" s="25"/>
      <c r="M30" s="25"/>
      <c r="N30" s="25"/>
      <c r="O30" s="25"/>
      <c r="P30" s="25"/>
      <c r="R30" s="25"/>
      <c r="S30" s="25"/>
      <c r="T30" s="25"/>
      <c r="U30" s="48"/>
      <c r="W30" s="25"/>
      <c r="X30" s="25"/>
      <c r="Y30" s="25"/>
      <c r="Z30" s="48"/>
      <c r="AB30" s="25"/>
      <c r="AC30" s="25"/>
      <c r="AD30" s="25"/>
      <c r="AE30" s="48"/>
      <c r="AG30" s="25"/>
      <c r="AH30" s="25"/>
      <c r="AI30" s="25"/>
      <c r="AJ30" s="48"/>
      <c r="AL30" s="25"/>
      <c r="AM30" s="25"/>
      <c r="AN30" s="25"/>
      <c r="AO30" s="48"/>
      <c r="AQ30" s="25"/>
      <c r="AR30" s="25"/>
      <c r="AS30" s="25"/>
      <c r="AT30" s="48"/>
      <c r="AV30" s="25"/>
      <c r="AW30" s="25"/>
      <c r="AX30" s="25"/>
      <c r="AY30" s="48"/>
      <c r="BA30" s="25"/>
      <c r="BB30" s="25"/>
      <c r="BC30" s="25"/>
      <c r="BD30" s="48"/>
      <c r="BF30" s="25"/>
      <c r="BG30" s="25"/>
      <c r="BH30" s="25"/>
      <c r="BI30" s="48"/>
      <c r="BK30" s="25"/>
      <c r="BL30" s="25"/>
      <c r="BM30" s="25"/>
      <c r="BN30" s="48"/>
    </row>
    <row r="32" spans="1:66">
      <c r="A32" s="1"/>
      <c r="B32" s="2"/>
      <c r="C32" s="107">
        <v>2001</v>
      </c>
      <c r="D32" s="107"/>
      <c r="E32" s="107"/>
      <c r="F32" s="107"/>
      <c r="H32" s="107">
        <v>2002</v>
      </c>
      <c r="I32" s="107"/>
      <c r="J32" s="107"/>
      <c r="K32" s="107"/>
      <c r="L32" s="22"/>
      <c r="M32" s="107">
        <v>2003</v>
      </c>
      <c r="N32" s="107"/>
      <c r="O32" s="107"/>
      <c r="P32" s="107"/>
      <c r="Q32" s="22"/>
      <c r="R32" s="107">
        <v>2004</v>
      </c>
      <c r="S32" s="107"/>
      <c r="T32" s="107"/>
      <c r="U32" s="107"/>
      <c r="V32" s="22"/>
      <c r="W32" s="107">
        <v>2004</v>
      </c>
      <c r="X32" s="107"/>
      <c r="Y32" s="107"/>
      <c r="Z32" s="107"/>
      <c r="AA32" s="22"/>
      <c r="AB32" s="107">
        <v>2005</v>
      </c>
      <c r="AC32" s="107"/>
      <c r="AD32" s="107"/>
      <c r="AE32" s="107"/>
      <c r="AF32" s="22"/>
      <c r="AG32" s="107">
        <v>2006</v>
      </c>
      <c r="AH32" s="107"/>
      <c r="AI32" s="107"/>
      <c r="AJ32" s="107"/>
      <c r="AK32" s="22"/>
      <c r="AL32" s="107">
        <v>2007</v>
      </c>
      <c r="AM32" s="107"/>
      <c r="AN32" s="107"/>
      <c r="AO32" s="107"/>
      <c r="AP32" s="22"/>
      <c r="AQ32" s="107">
        <v>2008</v>
      </c>
      <c r="AR32" s="107"/>
      <c r="AS32" s="107"/>
      <c r="AT32" s="107"/>
      <c r="AU32" s="22"/>
      <c r="AV32" s="107">
        <v>2009</v>
      </c>
      <c r="AW32" s="107"/>
      <c r="AX32" s="107"/>
      <c r="AY32" s="107"/>
      <c r="BA32" s="107">
        <v>2010</v>
      </c>
      <c r="BB32" s="107"/>
      <c r="BC32" s="107"/>
      <c r="BD32" s="107"/>
      <c r="BF32" s="107">
        <v>2011</v>
      </c>
      <c r="BG32" s="107"/>
      <c r="BH32" s="107"/>
      <c r="BI32" s="107"/>
      <c r="BK32" s="107">
        <v>2012</v>
      </c>
      <c r="BL32" s="107"/>
      <c r="BM32" s="107"/>
      <c r="BN32" s="107"/>
    </row>
    <row r="33" spans="1:66">
      <c r="A33" s="5" t="s">
        <v>146</v>
      </c>
      <c r="B33" s="6"/>
      <c r="C33" s="71" t="s">
        <v>10</v>
      </c>
      <c r="D33" s="71" t="s">
        <v>11</v>
      </c>
      <c r="E33" s="71" t="s">
        <v>12</v>
      </c>
      <c r="F33" s="71" t="s">
        <v>13</v>
      </c>
      <c r="G33" s="9"/>
      <c r="H33" s="71" t="s">
        <v>10</v>
      </c>
      <c r="I33" s="71" t="s">
        <v>11</v>
      </c>
      <c r="J33" s="71" t="s">
        <v>12</v>
      </c>
      <c r="K33" s="71" t="s">
        <v>13</v>
      </c>
      <c r="L33" s="23"/>
      <c r="M33" s="71" t="s">
        <v>10</v>
      </c>
      <c r="N33" s="71" t="s">
        <v>11</v>
      </c>
      <c r="O33" s="71" t="s">
        <v>12</v>
      </c>
      <c r="P33" s="71" t="s">
        <v>13</v>
      </c>
      <c r="Q33" s="23"/>
      <c r="R33" s="71" t="s">
        <v>10</v>
      </c>
      <c r="S33" s="71" t="s">
        <v>11</v>
      </c>
      <c r="T33" s="71" t="s">
        <v>12</v>
      </c>
      <c r="U33" s="71" t="s">
        <v>13</v>
      </c>
      <c r="V33" s="23"/>
      <c r="W33" s="71" t="s">
        <v>10</v>
      </c>
      <c r="X33" s="71" t="s">
        <v>11</v>
      </c>
      <c r="Y33" s="71" t="s">
        <v>12</v>
      </c>
      <c r="Z33" s="71" t="s">
        <v>13</v>
      </c>
      <c r="AA33" s="23"/>
      <c r="AB33" s="71" t="s">
        <v>10</v>
      </c>
      <c r="AC33" s="71" t="s">
        <v>11</v>
      </c>
      <c r="AD33" s="71" t="s">
        <v>12</v>
      </c>
      <c r="AE33" s="71" t="s">
        <v>13</v>
      </c>
      <c r="AF33" s="23"/>
      <c r="AG33" s="71" t="s">
        <v>10</v>
      </c>
      <c r="AH33" s="71" t="s">
        <v>11</v>
      </c>
      <c r="AI33" s="71" t="s">
        <v>12</v>
      </c>
      <c r="AJ33" s="71" t="s">
        <v>13</v>
      </c>
      <c r="AK33" s="23"/>
      <c r="AL33" s="71" t="s">
        <v>10</v>
      </c>
      <c r="AM33" s="71" t="s">
        <v>11</v>
      </c>
      <c r="AN33" s="71" t="s">
        <v>12</v>
      </c>
      <c r="AO33" s="71" t="s">
        <v>13</v>
      </c>
      <c r="AP33" s="23"/>
      <c r="AQ33" s="71" t="s">
        <v>10</v>
      </c>
      <c r="AR33" s="71" t="s">
        <v>11</v>
      </c>
      <c r="AS33" s="71" t="s">
        <v>12</v>
      </c>
      <c r="AT33" s="71" t="s">
        <v>13</v>
      </c>
      <c r="AU33" s="23"/>
      <c r="AV33" s="71" t="s">
        <v>10</v>
      </c>
      <c r="AW33" s="71" t="s">
        <v>11</v>
      </c>
      <c r="AX33" s="71" t="s">
        <v>12</v>
      </c>
      <c r="AY33" s="71" t="s">
        <v>13</v>
      </c>
      <c r="BA33" s="71" t="s">
        <v>10</v>
      </c>
      <c r="BB33" s="71" t="s">
        <v>11</v>
      </c>
      <c r="BC33" s="71" t="s">
        <v>12</v>
      </c>
      <c r="BD33" s="71" t="s">
        <v>13</v>
      </c>
      <c r="BF33" s="71" t="s">
        <v>10</v>
      </c>
      <c r="BG33" s="71" t="s">
        <v>11</v>
      </c>
      <c r="BH33" s="71" t="s">
        <v>12</v>
      </c>
      <c r="BI33" s="71" t="s">
        <v>13</v>
      </c>
      <c r="BK33" s="71" t="s">
        <v>10</v>
      </c>
      <c r="BL33" s="71" t="s">
        <v>11</v>
      </c>
      <c r="BM33" s="71" t="s">
        <v>12</v>
      </c>
      <c r="BN33" s="71" t="s">
        <v>13</v>
      </c>
    </row>
    <row r="35" spans="1:66">
      <c r="A35" s="4" t="s">
        <v>76</v>
      </c>
      <c r="C35" s="14">
        <v>4149</v>
      </c>
      <c r="D35" s="14">
        <f>C42</f>
        <v>6397</v>
      </c>
      <c r="E35" s="14">
        <f>D42</f>
        <v>3894</v>
      </c>
      <c r="F35" s="14">
        <f>E42</f>
        <v>3790</v>
      </c>
      <c r="G35" s="16"/>
      <c r="H35" s="14">
        <f>F42</f>
        <v>3762</v>
      </c>
      <c r="I35" s="14">
        <f>H42</f>
        <v>3741</v>
      </c>
      <c r="J35" s="14">
        <f>I42</f>
        <v>3554</v>
      </c>
      <c r="K35" s="14">
        <f>J42</f>
        <v>3547</v>
      </c>
      <c r="M35" s="14">
        <f>K42</f>
        <v>2898</v>
      </c>
      <c r="N35" s="14">
        <f>M42</f>
        <v>2880</v>
      </c>
      <c r="O35" s="14">
        <f>N42</f>
        <v>2787</v>
      </c>
      <c r="P35" s="14">
        <f>O42</f>
        <v>2815</v>
      </c>
      <c r="R35" s="14">
        <v>2831</v>
      </c>
      <c r="S35" s="14">
        <f>R42</f>
        <v>2837</v>
      </c>
      <c r="T35" s="14">
        <f>S42</f>
        <v>2689</v>
      </c>
      <c r="U35" s="14">
        <f>T42</f>
        <v>2804</v>
      </c>
      <c r="W35" s="14">
        <v>2957</v>
      </c>
      <c r="X35" s="14">
        <f>W42</f>
        <v>2783</v>
      </c>
      <c r="Y35" s="14">
        <f>X42</f>
        <v>2534</v>
      </c>
      <c r="Z35" s="14">
        <f>Y42</f>
        <v>2674</v>
      </c>
      <c r="AB35" s="14">
        <f>Z42</f>
        <v>2750</v>
      </c>
      <c r="AC35" s="14">
        <f>AB42</f>
        <v>2800</v>
      </c>
      <c r="AD35" s="14">
        <f>AC42</f>
        <v>2762</v>
      </c>
      <c r="AE35" s="14">
        <f>AD42</f>
        <v>2636</v>
      </c>
      <c r="AG35" s="14">
        <f>AE42</f>
        <v>2735</v>
      </c>
      <c r="AH35" s="14">
        <f>AG42</f>
        <v>2775</v>
      </c>
      <c r="AI35" s="14">
        <f>AH42</f>
        <v>2597</v>
      </c>
      <c r="AJ35" s="14">
        <f>AI42</f>
        <v>2677</v>
      </c>
      <c r="AL35" s="14">
        <f>AJ42</f>
        <v>2806</v>
      </c>
      <c r="AM35" s="14">
        <f>+AL42</f>
        <v>2907</v>
      </c>
      <c r="AN35" s="14">
        <f>+AM42</f>
        <v>2872</v>
      </c>
      <c r="AO35" s="14">
        <f>+AN42</f>
        <v>2989</v>
      </c>
      <c r="AQ35" s="14">
        <f>+AO42</f>
        <v>3283</v>
      </c>
      <c r="AR35" s="14">
        <f>+AQ42</f>
        <v>3376</v>
      </c>
      <c r="AS35" s="14">
        <f>+AR42</f>
        <v>3397</v>
      </c>
      <c r="AT35" s="14">
        <f>+AS42</f>
        <v>3644</v>
      </c>
      <c r="AV35" s="14">
        <f>+AT42</f>
        <v>3464.7</v>
      </c>
      <c r="AW35" s="14">
        <f>+AV42</f>
        <v>3482.7</v>
      </c>
      <c r="AX35" s="14">
        <f>+AW42</f>
        <v>3541.7</v>
      </c>
      <c r="AY35" s="14">
        <f>+AX42</f>
        <v>3578.7</v>
      </c>
      <c r="BA35" s="14">
        <f>+AY42</f>
        <v>3739.7</v>
      </c>
      <c r="BB35" s="14">
        <f>+BA42</f>
        <v>3831.7</v>
      </c>
      <c r="BC35" s="14">
        <f>+BB42</f>
        <v>4052.7</v>
      </c>
      <c r="BD35" s="14">
        <f>+BC42</f>
        <v>3998.7</v>
      </c>
      <c r="BF35" s="14">
        <f>+BD42</f>
        <v>4111.7</v>
      </c>
      <c r="BG35" s="14">
        <f>+BF42</f>
        <v>3993.7</v>
      </c>
      <c r="BH35" s="14">
        <f>+BG42</f>
        <v>3988.7</v>
      </c>
      <c r="BI35" s="14">
        <f>+BH42</f>
        <v>4005.7</v>
      </c>
      <c r="BK35" s="14">
        <f>+BI42</f>
        <v>4065.7</v>
      </c>
      <c r="BL35" s="14">
        <f>+BK42</f>
        <v>4121.7</v>
      </c>
      <c r="BM35" s="14"/>
      <c r="BN35" s="14"/>
    </row>
    <row r="36" spans="1:66">
      <c r="A36" s="4" t="s">
        <v>34</v>
      </c>
      <c r="C36" s="20">
        <v>2584</v>
      </c>
      <c r="D36" s="20">
        <v>0</v>
      </c>
      <c r="E36" s="20">
        <v>0</v>
      </c>
      <c r="F36" s="20">
        <v>0</v>
      </c>
      <c r="G36" s="16"/>
      <c r="H36" s="20">
        <v>0</v>
      </c>
      <c r="I36" s="20">
        <v>0</v>
      </c>
      <c r="J36" s="20">
        <v>0</v>
      </c>
      <c r="K36" s="20">
        <v>0</v>
      </c>
      <c r="M36" s="20">
        <v>0</v>
      </c>
      <c r="N36" s="20">
        <v>0</v>
      </c>
      <c r="O36" s="20">
        <v>0</v>
      </c>
      <c r="P36" s="20">
        <v>0</v>
      </c>
      <c r="R36" s="20">
        <v>0</v>
      </c>
      <c r="S36" s="20">
        <v>0</v>
      </c>
      <c r="T36" s="20">
        <v>0</v>
      </c>
      <c r="U36" s="20">
        <v>0</v>
      </c>
      <c r="W36" s="20">
        <v>-194</v>
      </c>
      <c r="X36" s="20">
        <v>0</v>
      </c>
      <c r="Y36" s="20">
        <v>0</v>
      </c>
      <c r="Z36" s="20">
        <v>0</v>
      </c>
      <c r="AB36" s="20"/>
      <c r="AC36" s="20">
        <v>0</v>
      </c>
      <c r="AD36" s="20">
        <v>0</v>
      </c>
      <c r="AE36" s="20">
        <v>0</v>
      </c>
      <c r="AG36" s="20">
        <v>0</v>
      </c>
      <c r="AH36" s="20">
        <v>0</v>
      </c>
      <c r="AI36" s="20">
        <v>0</v>
      </c>
      <c r="AJ36" s="20">
        <v>0</v>
      </c>
      <c r="AL36" s="20">
        <v>0</v>
      </c>
      <c r="AM36" s="20">
        <v>0</v>
      </c>
      <c r="AN36" s="20">
        <v>0</v>
      </c>
      <c r="AO36" s="20">
        <v>0</v>
      </c>
      <c r="AQ36" s="20">
        <v>0</v>
      </c>
      <c r="AR36" s="20">
        <v>0</v>
      </c>
      <c r="AS36" s="20">
        <v>0</v>
      </c>
      <c r="AT36" s="20">
        <v>0</v>
      </c>
      <c r="AV36" s="20">
        <v>0</v>
      </c>
      <c r="AW36" s="20">
        <v>0</v>
      </c>
      <c r="AX36" s="20">
        <v>0</v>
      </c>
      <c r="AY36" s="20">
        <v>0</v>
      </c>
      <c r="BA36" s="20">
        <v>0</v>
      </c>
      <c r="BB36" s="20">
        <v>0</v>
      </c>
      <c r="BC36" s="20">
        <v>0</v>
      </c>
      <c r="BD36" s="20">
        <v>0</v>
      </c>
      <c r="BF36" s="20">
        <v>0</v>
      </c>
      <c r="BG36" s="20">
        <v>0</v>
      </c>
      <c r="BH36" s="20">
        <v>0</v>
      </c>
      <c r="BI36" s="20">
        <v>0</v>
      </c>
      <c r="BK36" s="20">
        <v>0</v>
      </c>
      <c r="BL36" s="20">
        <v>0</v>
      </c>
      <c r="BM36" s="20"/>
      <c r="BN36" s="20"/>
    </row>
    <row r="37" spans="1:66">
      <c r="A37" s="4" t="s">
        <v>171</v>
      </c>
      <c r="C37" s="14">
        <f>SUM(C35:C36)</f>
        <v>6733</v>
      </c>
      <c r="D37" s="14">
        <f>SUM(D35:D36)</f>
        <v>6397</v>
      </c>
      <c r="E37" s="14">
        <f>SUM(E35:E36)</f>
        <v>3894</v>
      </c>
      <c r="F37" s="14">
        <f>SUM(F35:F36)</f>
        <v>3790</v>
      </c>
      <c r="G37" s="16"/>
      <c r="H37" s="14">
        <f>SUM(H35:H36)</f>
        <v>3762</v>
      </c>
      <c r="I37" s="14">
        <f>SUM(I35:I36)</f>
        <v>3741</v>
      </c>
      <c r="J37" s="14">
        <f>SUM(J35:J36)</f>
        <v>3554</v>
      </c>
      <c r="K37" s="14">
        <f>SUM(K35:K36)</f>
        <v>3547</v>
      </c>
      <c r="M37" s="14">
        <f>SUM(M35:M36)</f>
        <v>2898</v>
      </c>
      <c r="N37" s="14">
        <f>SUM(N35:N36)</f>
        <v>2880</v>
      </c>
      <c r="O37" s="14">
        <f>SUM(O35:O36)</f>
        <v>2787</v>
      </c>
      <c r="P37" s="14">
        <f>SUM(P35:P36)</f>
        <v>2815</v>
      </c>
      <c r="R37" s="14">
        <f>SUM(R35:R36)</f>
        <v>2831</v>
      </c>
      <c r="S37" s="14">
        <f>SUM(S35:S36)</f>
        <v>2837</v>
      </c>
      <c r="T37" s="14">
        <f>SUM(T35:T36)</f>
        <v>2689</v>
      </c>
      <c r="U37" s="14">
        <f>SUM(U35:U36)</f>
        <v>2804</v>
      </c>
      <c r="W37" s="14">
        <f>SUM(W35:W36)</f>
        <v>2763</v>
      </c>
      <c r="X37" s="14">
        <f>SUM(X35:X36)</f>
        <v>2783</v>
      </c>
      <c r="Y37" s="14">
        <f>SUM(Y35:Y36)</f>
        <v>2534</v>
      </c>
      <c r="Z37" s="14">
        <f>SUM(Z35:Z36)</f>
        <v>2674</v>
      </c>
      <c r="AB37" s="14">
        <f>SUM(AB35:AB36)</f>
        <v>2750</v>
      </c>
      <c r="AC37" s="14">
        <f>SUM(AC35:AC36)</f>
        <v>2800</v>
      </c>
      <c r="AD37" s="14">
        <f>SUM(AD35:AD36)</f>
        <v>2762</v>
      </c>
      <c r="AE37" s="14">
        <f>SUM(AE35:AE36)</f>
        <v>2636</v>
      </c>
      <c r="AG37" s="14">
        <f>SUM(AG35:AG36)</f>
        <v>2735</v>
      </c>
      <c r="AH37" s="14">
        <f>SUM(AH35:AH36)</f>
        <v>2775</v>
      </c>
      <c r="AI37" s="14">
        <f>SUM(AI35:AI36)</f>
        <v>2597</v>
      </c>
      <c r="AJ37" s="14">
        <f>SUM(AJ35:AJ36)</f>
        <v>2677</v>
      </c>
      <c r="AL37" s="14">
        <f>SUM(AL35:AL36)</f>
        <v>2806</v>
      </c>
      <c r="AM37" s="14">
        <f>SUM(AM35:AM36)</f>
        <v>2907</v>
      </c>
      <c r="AN37" s="14">
        <f>SUM(AN35:AN36)</f>
        <v>2872</v>
      </c>
      <c r="AO37" s="14">
        <f>SUM(AO35:AO36)</f>
        <v>2989</v>
      </c>
      <c r="AQ37" s="14">
        <f>SUM(AQ35:AQ36)</f>
        <v>3283</v>
      </c>
      <c r="AR37" s="14">
        <f>SUM(AR35:AR36)</f>
        <v>3376</v>
      </c>
      <c r="AS37" s="14">
        <f>SUM(AS35:AS36)</f>
        <v>3397</v>
      </c>
      <c r="AT37" s="14">
        <f>SUM(AT35:AT36)</f>
        <v>3644</v>
      </c>
      <c r="AV37" s="14">
        <f>SUM(AV35:AV36)</f>
        <v>3464.7</v>
      </c>
      <c r="AW37" s="14">
        <f>SUM(AW35:AW36)</f>
        <v>3482.7</v>
      </c>
      <c r="AX37" s="14">
        <f>SUM(AX35:AX36)</f>
        <v>3541.7</v>
      </c>
      <c r="AY37" s="14">
        <f>SUM(AY35:AY36)</f>
        <v>3578.7</v>
      </c>
      <c r="BA37" s="14">
        <f>SUM(BA35:BA36)</f>
        <v>3739.7</v>
      </c>
      <c r="BB37" s="14">
        <f>SUM(BB35:BB36)</f>
        <v>3831.7</v>
      </c>
      <c r="BC37" s="14">
        <f>SUM(BC35:BC36)</f>
        <v>4052.7</v>
      </c>
      <c r="BD37" s="14">
        <f>SUM(BD35:BD36)</f>
        <v>3998.7</v>
      </c>
      <c r="BF37" s="14">
        <f>SUM(BF35:BF36)</f>
        <v>4111.7</v>
      </c>
      <c r="BG37" s="14">
        <f>SUM(BG35:BG36)</f>
        <v>3993.7</v>
      </c>
      <c r="BH37" s="14">
        <f>SUM(BH35:BH36)</f>
        <v>3988.7</v>
      </c>
      <c r="BI37" s="14">
        <f>SUM(BI35:BI36)</f>
        <v>4005.7</v>
      </c>
      <c r="BK37" s="14">
        <f>SUM(BK35:BK36)</f>
        <v>4065.7</v>
      </c>
      <c r="BL37" s="14">
        <f>SUM(BL35:BL36)</f>
        <v>4121.7</v>
      </c>
      <c r="BM37" s="14"/>
      <c r="BN37" s="14"/>
    </row>
    <row r="38" spans="1:66">
      <c r="A38" s="4" t="s">
        <v>147</v>
      </c>
      <c r="C38" s="14">
        <f>' Financial Highlights'!C21</f>
        <v>-1</v>
      </c>
      <c r="D38" s="14">
        <f>' Financial Highlights'!D21</f>
        <v>76</v>
      </c>
      <c r="E38" s="14">
        <f>' Financial Highlights'!E21</f>
        <v>-46</v>
      </c>
      <c r="F38" s="14">
        <f>' Financial Highlights'!F21</f>
        <v>-62</v>
      </c>
      <c r="G38" s="16"/>
      <c r="H38" s="14">
        <f>' Financial Highlights'!I21</f>
        <v>-32</v>
      </c>
      <c r="I38" s="14">
        <f>' Financial Highlights'!J21</f>
        <v>-23</v>
      </c>
      <c r="J38" s="14">
        <f>' Financial Highlights'!K21</f>
        <v>0</v>
      </c>
      <c r="K38" s="14">
        <f>' Financial Highlights'!L21</f>
        <v>-641</v>
      </c>
      <c r="M38" s="14">
        <v>-2</v>
      </c>
      <c r="N38" s="14">
        <v>23</v>
      </c>
      <c r="O38" s="14">
        <v>33</v>
      </c>
      <c r="P38" s="14">
        <v>31</v>
      </c>
      <c r="R38" s="14">
        <v>3</v>
      </c>
      <c r="S38" s="14">
        <v>45</v>
      </c>
      <c r="T38" s="14">
        <v>108</v>
      </c>
      <c r="U38" s="14">
        <v>106</v>
      </c>
      <c r="W38" s="14">
        <f>' Financial Highlights'!AA19</f>
        <v>17</v>
      </c>
      <c r="X38" s="14">
        <f>' Financial Highlights'!AB19</f>
        <v>-59</v>
      </c>
      <c r="Y38" s="14">
        <f>' Financial Highlights'!AC19</f>
        <v>134</v>
      </c>
      <c r="Z38" s="14">
        <f>' Financial Highlights'!AD19</f>
        <v>106</v>
      </c>
      <c r="AB38" s="14">
        <v>53</v>
      </c>
      <c r="AC38" s="14">
        <v>105</v>
      </c>
      <c r="AD38" s="14">
        <v>117</v>
      </c>
      <c r="AE38" s="14">
        <v>86</v>
      </c>
      <c r="AG38" s="14">
        <v>85</v>
      </c>
      <c r="AH38" s="14">
        <v>228</v>
      </c>
      <c r="AI38" s="14">
        <v>146</v>
      </c>
      <c r="AJ38" s="14">
        <v>144</v>
      </c>
      <c r="AL38" s="14">
        <v>120</v>
      </c>
      <c r="AM38" s="14">
        <v>224</v>
      </c>
      <c r="AN38" s="14">
        <v>167</v>
      </c>
      <c r="AO38" s="14">
        <v>309</v>
      </c>
      <c r="AQ38" s="14">
        <v>138</v>
      </c>
      <c r="AR38" s="14">
        <v>232</v>
      </c>
      <c r="AS38" s="14">
        <v>139</v>
      </c>
      <c r="AT38" s="14">
        <v>-105</v>
      </c>
      <c r="AV38" s="40">
        <v>0</v>
      </c>
      <c r="AW38" s="84">
        <v>94</v>
      </c>
      <c r="AX38" s="14">
        <v>71</v>
      </c>
      <c r="AY38" s="14">
        <v>73</v>
      </c>
      <c r="BA38" s="40">
        <v>65</v>
      </c>
      <c r="BB38" s="84">
        <v>97</v>
      </c>
      <c r="BC38" s="14">
        <v>80</v>
      </c>
      <c r="BD38" s="14">
        <v>28</v>
      </c>
      <c r="BF38" s="14">
        <f>+' Financial Highlights'!BQ19</f>
        <v>51</v>
      </c>
      <c r="BG38" s="14">
        <f>+' Financial Highlights'!BR19</f>
        <v>30</v>
      </c>
      <c r="BH38" s="14">
        <f>+' Financial Highlights'!BS19</f>
        <v>43</v>
      </c>
      <c r="BI38" s="14">
        <f>+' Financial Highlights'!BT19</f>
        <v>3</v>
      </c>
      <c r="BK38" s="14">
        <v>31</v>
      </c>
      <c r="BL38" s="14">
        <f>+' Financial Highlights'!BX19</f>
        <v>1439</v>
      </c>
      <c r="BM38" s="14"/>
      <c r="BN38" s="14"/>
    </row>
    <row r="39" spans="1:66">
      <c r="A39" s="4" t="s">
        <v>148</v>
      </c>
      <c r="C39" s="14">
        <v>33</v>
      </c>
      <c r="D39" s="14">
        <v>33</v>
      </c>
      <c r="E39" s="14">
        <v>-58</v>
      </c>
      <c r="F39" s="14">
        <v>40</v>
      </c>
      <c r="G39" s="16"/>
      <c r="H39" s="14">
        <v>7</v>
      </c>
      <c r="I39" s="14">
        <v>-65</v>
      </c>
      <c r="J39" s="14">
        <v>-7</v>
      </c>
      <c r="K39" s="14">
        <v>-8</v>
      </c>
      <c r="M39" s="14">
        <v>-19</v>
      </c>
      <c r="N39" s="14">
        <v>-18</v>
      </c>
      <c r="O39" s="14">
        <v>-5</v>
      </c>
      <c r="P39" s="14">
        <v>-15</v>
      </c>
      <c r="R39" s="14">
        <v>3</v>
      </c>
      <c r="S39" s="14">
        <v>3</v>
      </c>
      <c r="T39" s="14">
        <v>7</v>
      </c>
      <c r="U39" s="14">
        <v>-51</v>
      </c>
      <c r="W39" s="14">
        <v>3</v>
      </c>
      <c r="X39" s="14">
        <v>6</v>
      </c>
      <c r="Y39" s="14">
        <v>6</v>
      </c>
      <c r="Z39" s="14">
        <v>-30</v>
      </c>
      <c r="AB39" s="14">
        <v>9</v>
      </c>
      <c r="AC39" s="14">
        <v>53</v>
      </c>
      <c r="AD39" s="14">
        <v>33</v>
      </c>
      <c r="AE39" s="14">
        <v>13</v>
      </c>
      <c r="AG39" s="14">
        <v>19</v>
      </c>
      <c r="AH39" s="14">
        <v>-125</v>
      </c>
      <c r="AI39" s="14">
        <v>-66</v>
      </c>
      <c r="AJ39" s="14">
        <v>-15</v>
      </c>
      <c r="AL39" s="14">
        <v>-26</v>
      </c>
      <c r="AM39" s="14">
        <v>-33</v>
      </c>
      <c r="AN39" s="14">
        <v>-50</v>
      </c>
      <c r="AO39" s="14">
        <v>-15</v>
      </c>
      <c r="AQ39" s="14">
        <v>-49</v>
      </c>
      <c r="AR39" s="14">
        <v>37</v>
      </c>
      <c r="AS39" s="14">
        <v>107</v>
      </c>
      <c r="AT39" s="14">
        <v>-75.3</v>
      </c>
      <c r="AV39" s="58">
        <v>17</v>
      </c>
      <c r="AW39" s="84">
        <v>-37</v>
      </c>
      <c r="AX39" s="84">
        <v>-35</v>
      </c>
      <c r="AY39" s="58">
        <v>87</v>
      </c>
      <c r="BA39" s="58">
        <f>-3+111</f>
        <v>108</v>
      </c>
      <c r="BB39" s="58">
        <v>119</v>
      </c>
      <c r="BC39" s="84">
        <v>-135</v>
      </c>
      <c r="BD39" s="58">
        <v>84</v>
      </c>
      <c r="BF39" s="58">
        <v>-123</v>
      </c>
      <c r="BG39" s="58">
        <v>-37</v>
      </c>
      <c r="BH39" s="84">
        <v>-27</v>
      </c>
      <c r="BI39" s="58">
        <v>57</v>
      </c>
      <c r="BK39" s="58">
        <v>50</v>
      </c>
      <c r="BL39" s="58">
        <v>-4</v>
      </c>
      <c r="BM39" s="84"/>
      <c r="BN39" s="58"/>
    </row>
    <row r="40" spans="1:66">
      <c r="A40" s="4" t="s">
        <v>149</v>
      </c>
      <c r="C40" s="14">
        <v>-368</v>
      </c>
      <c r="D40" s="14">
        <v>194</v>
      </c>
      <c r="E40" s="14">
        <v>0</v>
      </c>
      <c r="F40" s="14">
        <v>-6</v>
      </c>
      <c r="G40" s="16"/>
      <c r="H40" s="14">
        <v>4</v>
      </c>
      <c r="I40" s="14">
        <v>1</v>
      </c>
      <c r="J40" s="14">
        <v>0</v>
      </c>
      <c r="K40" s="14">
        <v>0</v>
      </c>
      <c r="M40" s="14">
        <v>3</v>
      </c>
      <c r="N40" s="14">
        <v>2</v>
      </c>
      <c r="O40" s="14">
        <v>0</v>
      </c>
      <c r="P40" s="14">
        <v>0</v>
      </c>
      <c r="R40" s="14">
        <v>0</v>
      </c>
      <c r="S40" s="14">
        <v>4</v>
      </c>
      <c r="T40" s="14">
        <v>0</v>
      </c>
      <c r="U40" s="14">
        <v>0</v>
      </c>
      <c r="W40" s="14"/>
      <c r="X40" s="14">
        <v>4</v>
      </c>
      <c r="Y40" s="14"/>
      <c r="Z40" s="14"/>
      <c r="AB40" s="14">
        <v>-12</v>
      </c>
      <c r="AC40" s="14"/>
      <c r="AD40" s="14">
        <v>-276</v>
      </c>
      <c r="AE40" s="14"/>
      <c r="AG40" s="14">
        <v>-64</v>
      </c>
      <c r="AH40" s="14">
        <v>13</v>
      </c>
      <c r="AI40" s="14">
        <v>0</v>
      </c>
      <c r="AJ40" s="14">
        <v>0</v>
      </c>
      <c r="AL40" s="14">
        <v>7</v>
      </c>
      <c r="AM40" s="14">
        <v>10</v>
      </c>
      <c r="AN40" s="14">
        <v>0</v>
      </c>
      <c r="AO40" s="14">
        <v>0</v>
      </c>
      <c r="AQ40" s="14">
        <v>4</v>
      </c>
      <c r="AR40" s="14">
        <v>12</v>
      </c>
      <c r="AS40" s="14">
        <v>1</v>
      </c>
      <c r="AT40" s="14">
        <v>1</v>
      </c>
      <c r="AV40" s="58">
        <v>1</v>
      </c>
      <c r="AW40" s="84">
        <v>2</v>
      </c>
      <c r="AX40" s="58">
        <v>1</v>
      </c>
      <c r="AY40" s="58">
        <v>1</v>
      </c>
      <c r="BA40" s="58">
        <v>2</v>
      </c>
      <c r="BB40" s="84">
        <v>5</v>
      </c>
      <c r="BC40" s="58">
        <v>1</v>
      </c>
      <c r="BD40" s="58">
        <v>1</v>
      </c>
      <c r="BF40" s="58">
        <v>1</v>
      </c>
      <c r="BG40" s="84">
        <v>2</v>
      </c>
      <c r="BH40" s="58">
        <v>1</v>
      </c>
      <c r="BI40" s="58">
        <v>0</v>
      </c>
      <c r="BK40" s="58">
        <f>1+22</f>
        <v>23</v>
      </c>
      <c r="BL40" s="84">
        <v>1</v>
      </c>
      <c r="BM40" s="58"/>
      <c r="BN40" s="58"/>
    </row>
    <row r="41" spans="1:66">
      <c r="A41" s="4" t="s">
        <v>199</v>
      </c>
      <c r="C41" s="14">
        <v>0</v>
      </c>
      <c r="D41" s="14">
        <v>-2806</v>
      </c>
      <c r="E41" s="14">
        <v>0</v>
      </c>
      <c r="F41" s="14">
        <v>0</v>
      </c>
      <c r="G41" s="16"/>
      <c r="H41" s="14">
        <v>0</v>
      </c>
      <c r="I41" s="14">
        <v>-100</v>
      </c>
      <c r="J41" s="14">
        <v>0</v>
      </c>
      <c r="K41" s="14">
        <v>0</v>
      </c>
      <c r="M41" s="14">
        <v>0</v>
      </c>
      <c r="N41" s="14">
        <v>-100</v>
      </c>
      <c r="O41" s="14">
        <v>0</v>
      </c>
      <c r="P41" s="14">
        <v>0</v>
      </c>
      <c r="R41" s="14">
        <v>0</v>
      </c>
      <c r="S41" s="14">
        <v>-200</v>
      </c>
      <c r="T41" s="14">
        <v>0</v>
      </c>
      <c r="U41" s="14">
        <v>0</v>
      </c>
      <c r="W41" s="14">
        <v>0</v>
      </c>
      <c r="X41" s="14">
        <v>-200</v>
      </c>
      <c r="Y41" s="14">
        <v>0</v>
      </c>
      <c r="Z41" s="14">
        <v>0</v>
      </c>
      <c r="AB41" s="14">
        <v>0</v>
      </c>
      <c r="AC41" s="14">
        <v>-196</v>
      </c>
      <c r="AD41" s="14">
        <v>0</v>
      </c>
      <c r="AE41" s="14">
        <v>0</v>
      </c>
      <c r="AG41" s="14">
        <v>0</v>
      </c>
      <c r="AH41" s="14">
        <v>-294</v>
      </c>
      <c r="AI41" s="14">
        <v>0</v>
      </c>
      <c r="AJ41" s="14">
        <v>0</v>
      </c>
      <c r="AL41" s="14">
        <v>0</v>
      </c>
      <c r="AM41" s="14">
        <v>-236</v>
      </c>
      <c r="AN41" s="14">
        <v>0</v>
      </c>
      <c r="AO41" s="14">
        <v>0</v>
      </c>
      <c r="AQ41" s="14">
        <v>0</v>
      </c>
      <c r="AR41" s="14">
        <v>-260</v>
      </c>
      <c r="AS41" s="14">
        <v>0</v>
      </c>
      <c r="AT41" s="14">
        <v>0</v>
      </c>
      <c r="AV41" s="14">
        <v>0</v>
      </c>
      <c r="AW41" s="84">
        <v>0</v>
      </c>
      <c r="AX41" s="84">
        <v>0</v>
      </c>
      <c r="AY41" s="84">
        <v>0</v>
      </c>
      <c r="BA41" s="14">
        <v>-83</v>
      </c>
      <c r="BB41" s="84">
        <v>0</v>
      </c>
      <c r="BC41" s="84">
        <v>0</v>
      </c>
      <c r="BD41" s="84">
        <v>0</v>
      </c>
      <c r="BF41" s="14">
        <v>-47</v>
      </c>
      <c r="BG41" s="84">
        <v>0</v>
      </c>
      <c r="BH41" s="84">
        <v>0</v>
      </c>
      <c r="BI41" s="58">
        <v>0</v>
      </c>
      <c r="BK41" s="14">
        <v>-48</v>
      </c>
      <c r="BL41" s="84">
        <v>0</v>
      </c>
      <c r="BM41" s="84"/>
      <c r="BN41" s="58"/>
    </row>
    <row r="42" spans="1:66">
      <c r="A42" s="4" t="s">
        <v>77</v>
      </c>
      <c r="C42" s="26">
        <f>SUM(C37:C41)</f>
        <v>6397</v>
      </c>
      <c r="D42" s="26">
        <f>SUM(D37:D41)</f>
        <v>3894</v>
      </c>
      <c r="E42" s="26">
        <f>SUM(E37:E41)</f>
        <v>3790</v>
      </c>
      <c r="F42" s="26">
        <f>SUM(F37:F41)</f>
        <v>3762</v>
      </c>
      <c r="G42" s="16"/>
      <c r="H42" s="26">
        <f>SUM(H37:H41)</f>
        <v>3741</v>
      </c>
      <c r="I42" s="26">
        <f>SUM(I37:I41)</f>
        <v>3554</v>
      </c>
      <c r="J42" s="26">
        <f>SUM(J37:J41)</f>
        <v>3547</v>
      </c>
      <c r="K42" s="26">
        <f>SUM(K37:K41)</f>
        <v>2898</v>
      </c>
      <c r="M42" s="26">
        <f>SUM(M37:M41)</f>
        <v>2880</v>
      </c>
      <c r="N42" s="26">
        <f>SUM(N37:N41)</f>
        <v>2787</v>
      </c>
      <c r="O42" s="26">
        <f>SUM(O37:O41)</f>
        <v>2815</v>
      </c>
      <c r="P42" s="26">
        <f>SUM(P37:P41)</f>
        <v>2831</v>
      </c>
      <c r="R42" s="26">
        <f>SUM(R37:R41)</f>
        <v>2837</v>
      </c>
      <c r="S42" s="26">
        <f>SUM(S37:S41)</f>
        <v>2689</v>
      </c>
      <c r="T42" s="26">
        <f>SUM(T37:T41)</f>
        <v>2804</v>
      </c>
      <c r="U42" s="26">
        <f>SUM(U37:U41)</f>
        <v>2859</v>
      </c>
      <c r="W42" s="26">
        <f>SUM(W37:W41)</f>
        <v>2783</v>
      </c>
      <c r="X42" s="26">
        <f>SUM(X37:X41)</f>
        <v>2534</v>
      </c>
      <c r="Y42" s="26">
        <f>SUM(Y37:Y41)</f>
        <v>2674</v>
      </c>
      <c r="Z42" s="26">
        <f>SUM(Z37:Z41)</f>
        <v>2750</v>
      </c>
      <c r="AB42" s="26">
        <f>SUM(AB37:AB41)</f>
        <v>2800</v>
      </c>
      <c r="AC42" s="26">
        <f>SUM(AC37:AC41)</f>
        <v>2762</v>
      </c>
      <c r="AD42" s="26">
        <f>SUM(AD37:AD41)</f>
        <v>2636</v>
      </c>
      <c r="AE42" s="26">
        <f>SUM(AE37:AE41)</f>
        <v>2735</v>
      </c>
      <c r="AG42" s="26">
        <f>SUM(AG37:AG41)</f>
        <v>2775</v>
      </c>
      <c r="AH42" s="26">
        <f>SUM(AH37:AH41)</f>
        <v>2597</v>
      </c>
      <c r="AI42" s="26">
        <f>SUM(AI37:AI41)</f>
        <v>2677</v>
      </c>
      <c r="AJ42" s="26">
        <f>SUM(AJ37:AJ41)</f>
        <v>2806</v>
      </c>
      <c r="AL42" s="26">
        <f>SUM(AL37:AL41)</f>
        <v>2907</v>
      </c>
      <c r="AM42" s="26">
        <f>SUM(AM37:AM41)</f>
        <v>2872</v>
      </c>
      <c r="AN42" s="26">
        <f>SUM(AN37:AN41)</f>
        <v>2989</v>
      </c>
      <c r="AO42" s="26">
        <f>SUM(AO37:AO41)</f>
        <v>3283</v>
      </c>
      <c r="AQ42" s="26">
        <f>SUM(AQ37:AQ41)</f>
        <v>3376</v>
      </c>
      <c r="AR42" s="26">
        <f>SUM(AR37:AR41)</f>
        <v>3397</v>
      </c>
      <c r="AS42" s="26">
        <f>SUM(AS37:AS41)</f>
        <v>3644</v>
      </c>
      <c r="AT42" s="26">
        <f>SUM(AT37:AT41)</f>
        <v>3464.7</v>
      </c>
      <c r="AV42" s="26">
        <f>SUM(AV37:AV41)</f>
        <v>3482.7</v>
      </c>
      <c r="AW42" s="26">
        <f>SUM(AW37:AW41)</f>
        <v>3541.7</v>
      </c>
      <c r="AX42" s="26">
        <f>SUM(AX37:AX41)</f>
        <v>3578.7</v>
      </c>
      <c r="AY42" s="26">
        <f>SUM(AY37:AY41)</f>
        <v>3739.7</v>
      </c>
      <c r="BA42" s="26">
        <f>SUM(BA37:BA41)</f>
        <v>3831.7</v>
      </c>
      <c r="BB42" s="26">
        <f>SUM(BB37:BB41)</f>
        <v>4052.7</v>
      </c>
      <c r="BC42" s="26">
        <f>SUM(BC37:BC41)</f>
        <v>3998.7</v>
      </c>
      <c r="BD42" s="26">
        <f>SUM(BD37:BD41)</f>
        <v>4111.7</v>
      </c>
      <c r="BF42" s="26">
        <f>SUM(BF37:BF41)</f>
        <v>3993.7</v>
      </c>
      <c r="BG42" s="26">
        <f>SUM(BG37:BG41)</f>
        <v>3988.7</v>
      </c>
      <c r="BH42" s="26">
        <f>SUM(BH37:BH41)</f>
        <v>4005.7</v>
      </c>
      <c r="BI42" s="26">
        <f>SUM(BI37:BI41)</f>
        <v>4065.7</v>
      </c>
      <c r="BK42" s="26">
        <f>SUM(BK37:BK41)</f>
        <v>4121.7</v>
      </c>
      <c r="BL42" s="26">
        <f>SUM(BL37:BL41)</f>
        <v>5557.7</v>
      </c>
      <c r="BM42" s="26">
        <f>SUM(BM37:BM41)</f>
        <v>0</v>
      </c>
      <c r="BN42" s="26">
        <f>SUM(BN37:BN41)</f>
        <v>0</v>
      </c>
    </row>
    <row r="43" spans="1:66">
      <c r="AV43" s="14"/>
      <c r="AW43" s="14"/>
      <c r="AX43" s="14"/>
      <c r="AY43" s="14"/>
      <c r="BA43" s="14"/>
      <c r="BB43" s="14"/>
      <c r="BC43" s="14"/>
      <c r="BD43" s="14"/>
    </row>
  </sheetData>
  <mergeCells count="39">
    <mergeCell ref="R1:V1"/>
    <mergeCell ref="M2:P2"/>
    <mergeCell ref="AV2:AY2"/>
    <mergeCell ref="R2:U2"/>
    <mergeCell ref="R32:U32"/>
    <mergeCell ref="AV1:AY1"/>
    <mergeCell ref="AQ2:AT2"/>
    <mergeCell ref="AQ32:AT32"/>
    <mergeCell ref="AL2:AO2"/>
    <mergeCell ref="AG32:AJ32"/>
    <mergeCell ref="AV32:AY32"/>
    <mergeCell ref="AL1:AO1"/>
    <mergeCell ref="AQ1:AT1"/>
    <mergeCell ref="AL32:AO32"/>
    <mergeCell ref="M32:P32"/>
    <mergeCell ref="AG1:AJ1"/>
    <mergeCell ref="AG2:AJ2"/>
    <mergeCell ref="C32:F32"/>
    <mergeCell ref="H32:K32"/>
    <mergeCell ref="C2:F2"/>
    <mergeCell ref="H2:K2"/>
    <mergeCell ref="AB32:AE32"/>
    <mergeCell ref="W2:Z2"/>
    <mergeCell ref="W1:Z1"/>
    <mergeCell ref="AB1:AE1"/>
    <mergeCell ref="AB2:AE2"/>
    <mergeCell ref="W32:Z32"/>
    <mergeCell ref="C1:G1"/>
    <mergeCell ref="H1:L1"/>
    <mergeCell ref="M1:Q1"/>
    <mergeCell ref="BK1:BN1"/>
    <mergeCell ref="BK2:BN2"/>
    <mergeCell ref="BK32:BN32"/>
    <mergeCell ref="BA32:BD32"/>
    <mergeCell ref="BF32:BI32"/>
    <mergeCell ref="BA1:BD1"/>
    <mergeCell ref="BA2:BD2"/>
    <mergeCell ref="BF1:BI1"/>
    <mergeCell ref="BF2:BI2"/>
  </mergeCells>
  <phoneticPr fontId="0" type="noConversion"/>
  <pageMargins left="0.43307086614173229" right="0.35433070866141736" top="0.55118110236220474" bottom="0.59055118110236227" header="0.51181102362204722" footer="0.51181102362204722"/>
  <pageSetup paperSize="9" scale="7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C37"/>
  <sheetViews>
    <sheetView showGridLines="0" zoomScaleNormal="100" zoomScaleSheetLayoutView="75" workbookViewId="0">
      <pane xSplit="1" ySplit="3" topLeftCell="BK4" activePane="bottomRight" state="frozen"/>
      <selection activeCell="AJ26" sqref="AJ26"/>
      <selection pane="topRight" activeCell="AJ26" sqref="AJ26"/>
      <selection pane="bottomLeft" activeCell="AJ26" sqref="AJ26"/>
      <selection pane="bottomRight" activeCell="BX32" sqref="BX32"/>
    </sheetView>
  </sheetViews>
  <sheetFormatPr defaultColWidth="9.140625" defaultRowHeight="12.75"/>
  <cols>
    <col min="1" max="1" width="36.140625" style="4" customWidth="1"/>
    <col min="2" max="2" width="4.28515625" style="10" customWidth="1"/>
    <col min="3" max="6" width="9.140625" style="4" customWidth="1"/>
    <col min="7" max="7" width="9.140625" style="12" customWidth="1"/>
    <col min="8" max="8" width="4.7109375" style="3" customWidth="1"/>
    <col min="9" max="12" width="9.140625" style="4" customWidth="1"/>
    <col min="13" max="13" width="9.140625" style="12" customWidth="1"/>
    <col min="14" max="14" width="4.85546875" style="4" customWidth="1"/>
    <col min="15" max="18" width="9.140625" style="4" customWidth="1"/>
    <col min="19" max="19" width="9.140625" style="12" customWidth="1"/>
    <col min="20" max="20" width="4.85546875" style="4" customWidth="1"/>
    <col min="21" max="24" width="9.140625" style="4" customWidth="1"/>
    <col min="25" max="25" width="9.140625" style="12" customWidth="1"/>
    <col min="26" max="26" width="4.85546875" style="4" customWidth="1"/>
    <col min="27" max="29" width="9.140625" style="4" customWidth="1"/>
    <col min="30" max="30" width="9.28515625" style="4" customWidth="1"/>
    <col min="31" max="31" width="9.28515625" style="12" customWidth="1"/>
    <col min="32" max="32" width="4.85546875" style="4" customWidth="1"/>
    <col min="33" max="36" width="9.28515625" style="4" customWidth="1"/>
    <col min="37" max="37" width="9.28515625" style="12" customWidth="1"/>
    <col min="38" max="38" width="4.85546875" style="4" customWidth="1"/>
    <col min="39" max="39" width="9.28515625" style="4" customWidth="1"/>
    <col min="40" max="41" width="9.42578125" style="4" customWidth="1"/>
    <col min="42" max="42" width="9.85546875" style="4" customWidth="1"/>
    <col min="43" max="43" width="9.85546875" style="12" customWidth="1"/>
    <col min="44" max="44" width="4.85546875" style="4" customWidth="1"/>
    <col min="45" max="47" width="9.85546875" style="4" customWidth="1"/>
    <col min="48" max="48" width="9.28515625" style="4" customWidth="1"/>
    <col min="49" max="49" width="9.85546875" style="12" customWidth="1"/>
    <col min="50" max="50" width="4.85546875" style="4" customWidth="1"/>
    <col min="51" max="51" width="9.85546875" style="4" customWidth="1" collapsed="1"/>
    <col min="52" max="53" width="9.85546875" style="4" customWidth="1"/>
    <col min="54" max="54" width="9.28515625" style="4" customWidth="1"/>
    <col min="55" max="55" width="9.85546875" style="12" customWidth="1"/>
    <col min="56" max="56" width="4.85546875" style="4" customWidth="1"/>
    <col min="57" max="59" width="9.85546875" style="4" customWidth="1"/>
    <col min="60" max="60" width="9.28515625" style="4" customWidth="1"/>
    <col min="61" max="61" width="9.85546875" style="12" customWidth="1"/>
    <col min="62" max="62" width="2.28515625" style="4" customWidth="1"/>
    <col min="63" max="65" width="9.85546875" style="4" customWidth="1"/>
    <col min="66" max="66" width="9.28515625" style="4" customWidth="1"/>
    <col min="67" max="67" width="9.85546875" style="12" bestFit="1" customWidth="1"/>
    <col min="68" max="68" width="2.28515625" style="4" customWidth="1"/>
    <col min="69" max="73" width="9.140625" style="4"/>
    <col min="74" max="74" width="3.42578125" style="4" customWidth="1"/>
    <col min="75" max="16384" width="9.140625" style="4"/>
  </cols>
  <sheetData>
    <row r="1" spans="1:79">
      <c r="C1" s="106" t="s">
        <v>157</v>
      </c>
      <c r="D1" s="106"/>
      <c r="E1" s="106"/>
      <c r="F1" s="106"/>
      <c r="G1" s="106"/>
      <c r="I1" s="106" t="s">
        <v>157</v>
      </c>
      <c r="J1" s="106"/>
      <c r="K1" s="106"/>
      <c r="L1" s="106"/>
      <c r="M1" s="106"/>
      <c r="O1" s="106" t="s">
        <v>157</v>
      </c>
      <c r="P1" s="106"/>
      <c r="Q1" s="106"/>
      <c r="R1" s="106"/>
      <c r="S1" s="106"/>
      <c r="U1" s="106" t="s">
        <v>157</v>
      </c>
      <c r="V1" s="106"/>
      <c r="W1" s="106"/>
      <c r="X1" s="106"/>
      <c r="Y1" s="106"/>
      <c r="AA1" s="106" t="s">
        <v>132</v>
      </c>
      <c r="AB1" s="106"/>
      <c r="AC1" s="106"/>
      <c r="AD1" s="106"/>
      <c r="AE1" s="106"/>
      <c r="AG1" s="106" t="s">
        <v>132</v>
      </c>
      <c r="AH1" s="106"/>
      <c r="AI1" s="106"/>
      <c r="AJ1" s="106"/>
      <c r="AK1" s="106"/>
      <c r="AM1" s="106" t="s">
        <v>132</v>
      </c>
      <c r="AN1" s="106"/>
      <c r="AO1" s="106"/>
      <c r="AP1" s="106"/>
      <c r="AQ1" s="106"/>
      <c r="AS1" s="106" t="s">
        <v>132</v>
      </c>
      <c r="AT1" s="106"/>
      <c r="AU1" s="106"/>
      <c r="AV1" s="106"/>
      <c r="AW1" s="106"/>
      <c r="AY1" s="106" t="s">
        <v>132</v>
      </c>
      <c r="AZ1" s="106"/>
      <c r="BA1" s="106"/>
      <c r="BB1" s="106"/>
      <c r="BC1" s="106"/>
      <c r="BE1" s="106" t="s">
        <v>132</v>
      </c>
      <c r="BF1" s="106"/>
      <c r="BG1" s="106"/>
      <c r="BH1" s="106"/>
      <c r="BI1" s="106"/>
      <c r="BK1" s="106" t="s">
        <v>132</v>
      </c>
      <c r="BL1" s="106"/>
      <c r="BM1" s="106"/>
      <c r="BN1" s="106"/>
      <c r="BO1" s="106"/>
      <c r="BQ1" s="106" t="s">
        <v>132</v>
      </c>
      <c r="BR1" s="106"/>
      <c r="BS1" s="106"/>
      <c r="BT1" s="106"/>
      <c r="BU1" s="106"/>
      <c r="BW1" s="106" t="s">
        <v>132</v>
      </c>
      <c r="BX1" s="106"/>
      <c r="BY1" s="106"/>
      <c r="BZ1" s="106"/>
      <c r="CA1" s="106"/>
    </row>
    <row r="2" spans="1:79">
      <c r="BU2" s="12"/>
      <c r="CA2" s="12"/>
    </row>
    <row r="3" spans="1:79">
      <c r="A3" s="1" t="s">
        <v>46</v>
      </c>
      <c r="B3" s="2"/>
      <c r="C3" s="107">
        <v>2001</v>
      </c>
      <c r="D3" s="107"/>
      <c r="E3" s="107"/>
      <c r="F3" s="107"/>
      <c r="G3" s="107"/>
      <c r="I3" s="107">
        <v>2002</v>
      </c>
      <c r="J3" s="107"/>
      <c r="K3" s="107"/>
      <c r="L3" s="107"/>
      <c r="M3" s="107"/>
      <c r="O3" s="107">
        <v>2003</v>
      </c>
      <c r="P3" s="107"/>
      <c r="Q3" s="107"/>
      <c r="R3" s="107"/>
      <c r="S3" s="107"/>
      <c r="U3" s="107">
        <v>2004</v>
      </c>
      <c r="V3" s="107"/>
      <c r="W3" s="107"/>
      <c r="X3" s="107"/>
      <c r="Y3" s="107"/>
      <c r="AA3" s="107">
        <v>2004</v>
      </c>
      <c r="AB3" s="107"/>
      <c r="AC3" s="107"/>
      <c r="AD3" s="107"/>
      <c r="AE3" s="107"/>
      <c r="AG3" s="107">
        <v>2005</v>
      </c>
      <c r="AH3" s="107"/>
      <c r="AI3" s="107"/>
      <c r="AJ3" s="107"/>
      <c r="AK3" s="107"/>
      <c r="AM3" s="107">
        <v>2006</v>
      </c>
      <c r="AN3" s="107"/>
      <c r="AO3" s="107"/>
      <c r="AP3" s="107"/>
      <c r="AQ3" s="107"/>
      <c r="AS3" s="107">
        <v>2007</v>
      </c>
      <c r="AT3" s="107"/>
      <c r="AU3" s="107"/>
      <c r="AV3" s="107"/>
      <c r="AW3" s="107"/>
      <c r="AY3" s="107">
        <v>2008</v>
      </c>
      <c r="AZ3" s="107"/>
      <c r="BA3" s="107"/>
      <c r="BB3" s="107"/>
      <c r="BC3" s="107"/>
      <c r="BE3" s="107">
        <v>2009</v>
      </c>
      <c r="BF3" s="107"/>
      <c r="BG3" s="107"/>
      <c r="BH3" s="107"/>
      <c r="BI3" s="107"/>
      <c r="BK3" s="107">
        <v>2010</v>
      </c>
      <c r="BL3" s="107"/>
      <c r="BM3" s="107"/>
      <c r="BN3" s="107"/>
      <c r="BO3" s="107"/>
      <c r="BQ3" s="107">
        <v>2011</v>
      </c>
      <c r="BR3" s="107"/>
      <c r="BS3" s="107"/>
      <c r="BT3" s="107"/>
      <c r="BU3" s="107"/>
      <c r="BW3" s="107">
        <v>2012</v>
      </c>
      <c r="BX3" s="107"/>
      <c r="BY3" s="107"/>
      <c r="BZ3" s="107"/>
      <c r="CA3" s="107"/>
    </row>
    <row r="4" spans="1:79">
      <c r="A4" s="5" t="s">
        <v>48</v>
      </c>
      <c r="B4" s="6"/>
      <c r="C4" s="71" t="s">
        <v>10</v>
      </c>
      <c r="D4" s="71" t="s">
        <v>11</v>
      </c>
      <c r="E4" s="71" t="s">
        <v>12</v>
      </c>
      <c r="F4" s="71" t="s">
        <v>13</v>
      </c>
      <c r="G4" s="8" t="s">
        <v>14</v>
      </c>
      <c r="H4" s="9"/>
      <c r="I4" s="71" t="s">
        <v>10</v>
      </c>
      <c r="J4" s="71" t="s">
        <v>11</v>
      </c>
      <c r="K4" s="71" t="s">
        <v>12</v>
      </c>
      <c r="L4" s="71" t="s">
        <v>13</v>
      </c>
      <c r="M4" s="8" t="s">
        <v>14</v>
      </c>
      <c r="O4" s="71" t="s">
        <v>10</v>
      </c>
      <c r="P4" s="71" t="s">
        <v>11</v>
      </c>
      <c r="Q4" s="71" t="s">
        <v>12</v>
      </c>
      <c r="R4" s="71" t="s">
        <v>13</v>
      </c>
      <c r="S4" s="8" t="s">
        <v>14</v>
      </c>
      <c r="U4" s="71" t="s">
        <v>10</v>
      </c>
      <c r="V4" s="71" t="s">
        <v>11</v>
      </c>
      <c r="W4" s="71" t="s">
        <v>12</v>
      </c>
      <c r="X4" s="71" t="s">
        <v>13</v>
      </c>
      <c r="Y4" s="8" t="s">
        <v>14</v>
      </c>
      <c r="AA4" s="71" t="s">
        <v>10</v>
      </c>
      <c r="AB4" s="71" t="s">
        <v>11</v>
      </c>
      <c r="AC4" s="71" t="s">
        <v>12</v>
      </c>
      <c r="AD4" s="71" t="s">
        <v>13</v>
      </c>
      <c r="AE4" s="8" t="s">
        <v>14</v>
      </c>
      <c r="AG4" s="71" t="s">
        <v>10</v>
      </c>
      <c r="AH4" s="71" t="s">
        <v>11</v>
      </c>
      <c r="AI4" s="71" t="s">
        <v>12</v>
      </c>
      <c r="AJ4" s="71" t="s">
        <v>13</v>
      </c>
      <c r="AK4" s="8" t="s">
        <v>14</v>
      </c>
      <c r="AM4" s="71" t="s">
        <v>10</v>
      </c>
      <c r="AN4" s="71" t="s">
        <v>11</v>
      </c>
      <c r="AO4" s="71" t="s">
        <v>12</v>
      </c>
      <c r="AP4" s="71" t="s">
        <v>13</v>
      </c>
      <c r="AQ4" s="8" t="s">
        <v>14</v>
      </c>
      <c r="AS4" s="71" t="s">
        <v>10</v>
      </c>
      <c r="AT4" s="71" t="s">
        <v>11</v>
      </c>
      <c r="AU4" s="71" t="s">
        <v>12</v>
      </c>
      <c r="AV4" s="71" t="s">
        <v>13</v>
      </c>
      <c r="AW4" s="8" t="s">
        <v>14</v>
      </c>
      <c r="AY4" s="71" t="s">
        <v>10</v>
      </c>
      <c r="AZ4" s="71" t="s">
        <v>11</v>
      </c>
      <c r="BA4" s="71" t="s">
        <v>12</v>
      </c>
      <c r="BB4" s="71" t="s">
        <v>13</v>
      </c>
      <c r="BC4" s="8" t="s">
        <v>14</v>
      </c>
      <c r="BE4" s="71" t="s">
        <v>10</v>
      </c>
      <c r="BF4" s="71" t="s">
        <v>11</v>
      </c>
      <c r="BG4" s="71" t="s">
        <v>12</v>
      </c>
      <c r="BH4" s="71" t="s">
        <v>13</v>
      </c>
      <c r="BI4" s="8" t="s">
        <v>14</v>
      </c>
      <c r="BK4" s="71" t="s">
        <v>10</v>
      </c>
      <c r="BL4" s="71" t="s">
        <v>11</v>
      </c>
      <c r="BM4" s="71" t="s">
        <v>12</v>
      </c>
      <c r="BN4" s="71" t="s">
        <v>13</v>
      </c>
      <c r="BO4" s="8" t="s">
        <v>14</v>
      </c>
      <c r="BQ4" s="71" t="s">
        <v>10</v>
      </c>
      <c r="BR4" s="71" t="s">
        <v>11</v>
      </c>
      <c r="BS4" s="71" t="s">
        <v>12</v>
      </c>
      <c r="BT4" s="71" t="s">
        <v>13</v>
      </c>
      <c r="BU4" s="8" t="s">
        <v>14</v>
      </c>
      <c r="BW4" s="71" t="s">
        <v>10</v>
      </c>
      <c r="BX4" s="71" t="s">
        <v>11</v>
      </c>
      <c r="BY4" s="71" t="s">
        <v>12</v>
      </c>
      <c r="BZ4" s="71" t="s">
        <v>13</v>
      </c>
      <c r="CA4" s="8" t="s">
        <v>14</v>
      </c>
    </row>
    <row r="5" spans="1:79">
      <c r="G5" s="5"/>
      <c r="M5" s="5"/>
      <c r="S5" s="5"/>
      <c r="Y5" s="5"/>
      <c r="AE5" s="5"/>
      <c r="AK5" s="5"/>
      <c r="AQ5" s="5"/>
      <c r="AW5" s="5"/>
      <c r="BC5" s="5"/>
      <c r="BI5" s="5"/>
      <c r="BO5" s="5"/>
      <c r="BU5" s="5"/>
      <c r="CA5" s="5"/>
    </row>
    <row r="6" spans="1:79">
      <c r="G6" s="5"/>
      <c r="M6" s="5"/>
      <c r="S6" s="5"/>
      <c r="Y6" s="5"/>
      <c r="AE6" s="5"/>
      <c r="AK6" s="5"/>
      <c r="AQ6" s="5"/>
      <c r="AW6" s="5"/>
      <c r="BC6" s="5"/>
      <c r="BI6" s="5"/>
      <c r="BO6" s="5"/>
      <c r="BU6" s="5"/>
      <c r="CA6" s="5"/>
    </row>
    <row r="7" spans="1:79">
      <c r="A7" s="4" t="s">
        <v>1</v>
      </c>
      <c r="C7" s="14">
        <f>' Financial Highlights'!C7</f>
        <v>37</v>
      </c>
      <c r="D7" s="14">
        <f>' Financial Highlights'!D7</f>
        <v>169</v>
      </c>
      <c r="E7" s="14">
        <f>' Financial Highlights'!E7</f>
        <v>52</v>
      </c>
      <c r="F7" s="14">
        <f>' Financial Highlights'!F7</f>
        <v>57</v>
      </c>
      <c r="G7" s="15">
        <f>SUM(C7:F7)</f>
        <v>315</v>
      </c>
      <c r="H7" s="16"/>
      <c r="I7" s="14">
        <f>' Financial Highlights'!I7</f>
        <v>66</v>
      </c>
      <c r="J7" s="14">
        <f>' Financial Highlights'!J7</f>
        <v>86</v>
      </c>
      <c r="K7" s="14">
        <f>' Financial Highlights'!K7</f>
        <v>95</v>
      </c>
      <c r="L7" s="14">
        <f>' Financial Highlights'!L7</f>
        <v>-79</v>
      </c>
      <c r="M7" s="15">
        <f>SUM(I7:L7)</f>
        <v>168</v>
      </c>
      <c r="O7" s="14">
        <v>66</v>
      </c>
      <c r="P7" s="14">
        <v>101</v>
      </c>
      <c r="Q7" s="14">
        <v>108</v>
      </c>
      <c r="R7" s="14">
        <v>111</v>
      </c>
      <c r="S7" s="15">
        <f>SUM(O7:R7)</f>
        <v>386</v>
      </c>
      <c r="U7" s="14">
        <v>71</v>
      </c>
      <c r="V7" s="14">
        <v>149</v>
      </c>
      <c r="W7" s="14">
        <v>271</v>
      </c>
      <c r="X7" s="14">
        <v>125</v>
      </c>
      <c r="Y7" s="15">
        <f>SUM(U7:X7)</f>
        <v>616</v>
      </c>
      <c r="AA7" s="14">
        <f>' Financial Highlights'!AA7</f>
        <v>68</v>
      </c>
      <c r="AB7" s="14">
        <f>' Financial Highlights'!AB7</f>
        <v>-37</v>
      </c>
      <c r="AC7" s="14">
        <f>' Financial Highlights'!AC7</f>
        <v>263</v>
      </c>
      <c r="AD7" s="14">
        <f>' Financial Highlights'!AD7</f>
        <v>139</v>
      </c>
      <c r="AE7" s="15">
        <f>SUM(AA7:AD7)</f>
        <v>433</v>
      </c>
      <c r="AG7" s="14">
        <v>125</v>
      </c>
      <c r="AH7" s="14">
        <v>174</v>
      </c>
      <c r="AI7" s="14">
        <v>190</v>
      </c>
      <c r="AJ7" s="14">
        <v>224</v>
      </c>
      <c r="AK7" s="15">
        <f>SUM(AG7:AJ7)</f>
        <v>713</v>
      </c>
      <c r="AM7" s="14">
        <v>176</v>
      </c>
      <c r="AN7" s="14">
        <v>373</v>
      </c>
      <c r="AO7" s="14">
        <v>255</v>
      </c>
      <c r="AP7" s="14">
        <v>218</v>
      </c>
      <c r="AQ7" s="15">
        <f>SUM(AM7:AP7)</f>
        <v>1022</v>
      </c>
      <c r="AS7" s="14">
        <v>256</v>
      </c>
      <c r="AT7" s="14">
        <v>397</v>
      </c>
      <c r="AU7" s="14">
        <v>333</v>
      </c>
      <c r="AV7" s="14">
        <v>447</v>
      </c>
      <c r="AW7" s="15">
        <f>SUM(AS7:AV7)</f>
        <v>1433</v>
      </c>
      <c r="AY7" s="14">
        <v>305</v>
      </c>
      <c r="AZ7" s="14">
        <v>461</v>
      </c>
      <c r="BA7" s="14">
        <v>329</v>
      </c>
      <c r="BB7" s="58">
        <v>123</v>
      </c>
      <c r="BC7" s="15">
        <f>SUM(AY7:BB7)</f>
        <v>1218</v>
      </c>
      <c r="BE7" s="14">
        <v>127</v>
      </c>
      <c r="BF7" s="14">
        <v>237</v>
      </c>
      <c r="BG7" s="14">
        <v>225</v>
      </c>
      <c r="BH7" s="14">
        <v>194</v>
      </c>
      <c r="BI7" s="15">
        <f>SUM(BE7:BH7)</f>
        <v>783</v>
      </c>
      <c r="BK7" s="14">
        <v>213</v>
      </c>
      <c r="BL7" s="58">
        <v>258</v>
      </c>
      <c r="BM7" s="14">
        <v>250</v>
      </c>
      <c r="BN7" s="14">
        <v>178</v>
      </c>
      <c r="BO7" s="15">
        <f>SUM(BK7:BN7)</f>
        <v>899</v>
      </c>
      <c r="BQ7" s="14">
        <f>+' Financial Highlights'!BQ7</f>
        <v>216</v>
      </c>
      <c r="BR7" s="14">
        <f>+' Financial Highlights'!BR7</f>
        <v>210</v>
      </c>
      <c r="BS7" s="14">
        <f>+' Financial Highlights'!BS7</f>
        <v>312</v>
      </c>
      <c r="BT7" s="14">
        <f>+' Financial Highlights'!BT7</f>
        <v>265</v>
      </c>
      <c r="BU7" s="15">
        <f>SUM(BQ7:BT7)</f>
        <v>1003</v>
      </c>
      <c r="BW7" s="14">
        <v>228</v>
      </c>
      <c r="BX7" s="14">
        <v>229</v>
      </c>
      <c r="BY7" s="14"/>
      <c r="BZ7" s="14"/>
      <c r="CA7" s="15">
        <f>SUM(BW7:BZ7)</f>
        <v>457</v>
      </c>
    </row>
    <row r="8" spans="1:79">
      <c r="A8" s="4" t="s">
        <v>150</v>
      </c>
      <c r="C8" s="14">
        <f>' Financial Highlights'!C15</f>
        <v>51</v>
      </c>
      <c r="D8" s="14">
        <f>' Financial Highlights'!D15</f>
        <v>8</v>
      </c>
      <c r="E8" s="14">
        <f>' Financial Highlights'!E15</f>
        <v>-7</v>
      </c>
      <c r="F8" s="14">
        <f>' Financial Highlights'!F15</f>
        <v>-14</v>
      </c>
      <c r="G8" s="15">
        <f>SUM(C8:F8)</f>
        <v>38</v>
      </c>
      <c r="H8" s="16"/>
      <c r="I8" s="14">
        <f>' Financial Highlights'!I15</f>
        <v>-3</v>
      </c>
      <c r="J8" s="14">
        <f>' Financial Highlights'!J15</f>
        <v>-10</v>
      </c>
      <c r="K8" s="14">
        <f>' Financial Highlights'!K15</f>
        <v>-2</v>
      </c>
      <c r="L8" s="14">
        <f>' Financial Highlights'!L15</f>
        <v>-2</v>
      </c>
      <c r="M8" s="15">
        <f>SUM(I8:L8)</f>
        <v>-17</v>
      </c>
      <c r="O8" s="14">
        <v>-1</v>
      </c>
      <c r="P8" s="14">
        <v>-5</v>
      </c>
      <c r="Q8" s="14">
        <v>-2</v>
      </c>
      <c r="R8" s="14">
        <v>24</v>
      </c>
      <c r="S8" s="15">
        <f>SUM(O8:R8)</f>
        <v>16</v>
      </c>
      <c r="U8" s="14">
        <v>-1</v>
      </c>
      <c r="V8" s="14">
        <v>-13</v>
      </c>
      <c r="W8" s="14">
        <v>-16</v>
      </c>
      <c r="X8" s="14">
        <v>20</v>
      </c>
      <c r="Y8" s="15">
        <f>SUM(U8:X8)</f>
        <v>-10</v>
      </c>
      <c r="AA8" s="14">
        <f>' Financial Highlights'!AA15</f>
        <v>0</v>
      </c>
      <c r="AB8" s="14">
        <f>' Financial Highlights'!AB15</f>
        <v>-11</v>
      </c>
      <c r="AC8" s="14">
        <f>' Financial Highlights'!AC15</f>
        <v>-13</v>
      </c>
      <c r="AD8" s="14">
        <f>' Financial Highlights'!AD15</f>
        <v>0</v>
      </c>
      <c r="AE8" s="15">
        <f>SUM(AA8:AD8)</f>
        <v>-24</v>
      </c>
      <c r="AG8" s="14">
        <v>-15</v>
      </c>
      <c r="AH8" s="14">
        <v>1</v>
      </c>
      <c r="AI8" s="14">
        <v>-1</v>
      </c>
      <c r="AJ8" s="14">
        <v>-7</v>
      </c>
      <c r="AK8" s="15">
        <f>SUM(AG8:AJ8)</f>
        <v>-22</v>
      </c>
      <c r="AM8" s="14">
        <v>-14</v>
      </c>
      <c r="AN8" s="14">
        <v>-12</v>
      </c>
      <c r="AO8" s="14">
        <v>-9</v>
      </c>
      <c r="AP8" s="14">
        <v>-14</v>
      </c>
      <c r="AQ8" s="15">
        <f>SUM(AM8:AP8)</f>
        <v>-49</v>
      </c>
      <c r="AS8" s="14">
        <v>-31</v>
      </c>
      <c r="AT8" s="14">
        <v>-23</v>
      </c>
      <c r="AU8" s="14">
        <v>-33</v>
      </c>
      <c r="AV8" s="14">
        <v>-58</v>
      </c>
      <c r="AW8" s="15">
        <f>SUM(AS8:AV8)</f>
        <v>-145</v>
      </c>
      <c r="AY8" s="14">
        <v>-42</v>
      </c>
      <c r="AZ8" s="14">
        <v>-68</v>
      </c>
      <c r="BA8" s="14">
        <v>-54</v>
      </c>
      <c r="BB8" s="58">
        <v>-62</v>
      </c>
      <c r="BC8" s="15">
        <f>SUM(AY8:BB8)</f>
        <v>-226</v>
      </c>
      <c r="BE8" s="14">
        <v>-34.700000000000003</v>
      </c>
      <c r="BF8" s="14">
        <v>-26</v>
      </c>
      <c r="BG8" s="58">
        <v>-24</v>
      </c>
      <c r="BH8" s="58">
        <v>-40</v>
      </c>
      <c r="BI8" s="15">
        <f>SUM(BE8:BH8)</f>
        <v>-124.7</v>
      </c>
      <c r="BK8" s="14">
        <v>-27</v>
      </c>
      <c r="BL8" s="58">
        <v>-22</v>
      </c>
      <c r="BM8" s="58">
        <v>-43</v>
      </c>
      <c r="BN8" s="58">
        <v>-43</v>
      </c>
      <c r="BO8" s="15">
        <f>SUM(BK8:BN8)</f>
        <v>-135</v>
      </c>
      <c r="BQ8" s="14">
        <f>+' Financial Highlights'!BQ15</f>
        <v>-43</v>
      </c>
      <c r="BR8" s="14">
        <f>+' Financial Highlights'!BR15</f>
        <v>-61</v>
      </c>
      <c r="BS8" s="14">
        <f>+' Financial Highlights'!BS15</f>
        <v>-106</v>
      </c>
      <c r="BT8" s="14">
        <f>+' Financial Highlights'!BT15</f>
        <v>-70</v>
      </c>
      <c r="BU8" s="15">
        <f>SUM(BQ8:BT8)</f>
        <v>-280</v>
      </c>
      <c r="BW8" s="14">
        <v>-59</v>
      </c>
      <c r="BX8" s="14">
        <v>-52</v>
      </c>
      <c r="BY8" s="14"/>
      <c r="BZ8" s="14"/>
      <c r="CA8" s="15">
        <f>SUM(BW8:BZ8)</f>
        <v>-111</v>
      </c>
    </row>
    <row r="9" spans="1:79">
      <c r="A9" s="4" t="s">
        <v>151</v>
      </c>
      <c r="C9" s="14"/>
      <c r="D9" s="14"/>
      <c r="E9" s="14"/>
      <c r="F9" s="14"/>
      <c r="G9" s="15"/>
      <c r="H9" s="16"/>
      <c r="I9" s="14"/>
      <c r="J9" s="14"/>
      <c r="K9" s="14"/>
      <c r="L9" s="14"/>
      <c r="M9" s="15"/>
      <c r="O9" s="14"/>
      <c r="P9" s="14"/>
      <c r="Q9" s="14"/>
      <c r="R9" s="14"/>
      <c r="S9" s="15"/>
      <c r="U9" s="14"/>
      <c r="V9" s="14"/>
      <c r="W9" s="14"/>
      <c r="X9" s="14"/>
      <c r="Y9" s="15"/>
      <c r="AA9" s="14">
        <v>2</v>
      </c>
      <c r="AB9" s="14">
        <v>0</v>
      </c>
      <c r="AC9" s="14">
        <v>6</v>
      </c>
      <c r="AD9" s="14">
        <v>-8</v>
      </c>
      <c r="AE9" s="15">
        <f>SUM(AA9:AD9)</f>
        <v>0</v>
      </c>
      <c r="AG9" s="14"/>
      <c r="AH9" s="14"/>
      <c r="AI9" s="14"/>
      <c r="AJ9" s="14"/>
      <c r="AK9" s="15"/>
      <c r="AM9" s="14"/>
      <c r="AN9" s="14"/>
      <c r="AO9" s="14"/>
      <c r="AP9" s="14"/>
      <c r="AQ9" s="15"/>
      <c r="AS9" s="14"/>
      <c r="AT9" s="14"/>
      <c r="AU9" s="14"/>
      <c r="AV9" s="14"/>
      <c r="AW9" s="15"/>
      <c r="AY9" s="14"/>
      <c r="AZ9" s="14"/>
      <c r="BA9" s="14"/>
      <c r="BB9" s="58"/>
      <c r="BC9" s="15"/>
      <c r="BE9" s="14"/>
      <c r="BF9" s="14"/>
      <c r="BG9" s="58"/>
      <c r="BH9" s="58"/>
      <c r="BI9" s="15"/>
      <c r="BK9" s="14"/>
      <c r="BL9" s="58"/>
      <c r="BM9" s="58"/>
      <c r="BN9" s="58"/>
      <c r="BO9" s="15"/>
      <c r="BQ9" s="14"/>
      <c r="BR9" s="58"/>
      <c r="BS9" s="58"/>
      <c r="BT9" s="58"/>
      <c r="BU9" s="15"/>
      <c r="BW9" s="14"/>
      <c r="BX9" s="58"/>
      <c r="BY9" s="58"/>
      <c r="BZ9" s="58"/>
      <c r="CA9" s="15"/>
    </row>
    <row r="10" spans="1:79" ht="12.75" customHeight="1">
      <c r="A10" s="4" t="s">
        <v>152</v>
      </c>
      <c r="C10" s="14"/>
      <c r="D10" s="14"/>
      <c r="E10" s="14"/>
      <c r="F10" s="14"/>
      <c r="G10" s="15"/>
      <c r="H10" s="16"/>
      <c r="I10" s="14"/>
      <c r="J10" s="14"/>
      <c r="K10" s="14"/>
      <c r="L10" s="14"/>
      <c r="M10" s="15"/>
      <c r="O10" s="14"/>
      <c r="P10" s="14"/>
      <c r="Q10" s="14"/>
      <c r="R10" s="14"/>
      <c r="S10" s="15"/>
      <c r="U10" s="14"/>
      <c r="V10" s="14"/>
      <c r="W10" s="14"/>
      <c r="X10" s="14"/>
      <c r="Y10" s="15"/>
      <c r="AA10" s="14"/>
      <c r="AB10" s="14"/>
      <c r="AC10" s="14"/>
      <c r="AD10" s="14"/>
      <c r="AE10" s="15"/>
      <c r="AG10" s="14"/>
      <c r="AH10" s="14"/>
      <c r="AI10" s="14"/>
      <c r="AJ10" s="14"/>
      <c r="AK10" s="15"/>
      <c r="AM10" s="14"/>
      <c r="AN10" s="14"/>
      <c r="AO10" s="14"/>
      <c r="AP10" s="14"/>
      <c r="AQ10" s="15"/>
      <c r="AS10" s="14"/>
      <c r="AT10" s="14"/>
      <c r="AU10" s="14"/>
      <c r="AV10" s="14"/>
      <c r="AW10" s="15"/>
      <c r="AY10" s="14"/>
      <c r="AZ10" s="14"/>
      <c r="BA10" s="14"/>
      <c r="BB10" s="58"/>
      <c r="BC10" s="15"/>
      <c r="BE10" s="14"/>
      <c r="BF10" s="14"/>
      <c r="BG10" s="58"/>
      <c r="BH10" s="58"/>
      <c r="BI10" s="15"/>
      <c r="BK10" s="14"/>
      <c r="BL10" s="58"/>
      <c r="BM10" s="58"/>
      <c r="BN10" s="58"/>
      <c r="BO10" s="15"/>
      <c r="BQ10" s="14"/>
      <c r="BR10" s="58"/>
      <c r="BS10" s="58"/>
      <c r="BT10" s="58"/>
      <c r="BU10" s="15"/>
      <c r="BW10" s="14"/>
      <c r="BX10" s="58"/>
      <c r="BY10" s="58"/>
      <c r="BZ10" s="58"/>
      <c r="CA10" s="15"/>
    </row>
    <row r="11" spans="1:79" s="12" customFormat="1" ht="12.75" customHeight="1">
      <c r="A11" s="4" t="s">
        <v>174</v>
      </c>
      <c r="B11" s="10"/>
      <c r="C11" s="20">
        <v>-113</v>
      </c>
      <c r="D11" s="20">
        <v>-70</v>
      </c>
      <c r="E11" s="20">
        <v>-30</v>
      </c>
      <c r="F11" s="20">
        <v>306</v>
      </c>
      <c r="G11" s="15">
        <f>SUM(C11:F11)</f>
        <v>93</v>
      </c>
      <c r="H11" s="16"/>
      <c r="I11" s="20">
        <v>-134</v>
      </c>
      <c r="J11" s="20">
        <v>-16</v>
      </c>
      <c r="K11" s="20">
        <v>48</v>
      </c>
      <c r="L11" s="20">
        <v>305</v>
      </c>
      <c r="M11" s="15">
        <f>SUM(I11:L11)</f>
        <v>203</v>
      </c>
      <c r="N11" s="4"/>
      <c r="O11" s="20">
        <v>-117</v>
      </c>
      <c r="P11" s="20">
        <v>-146</v>
      </c>
      <c r="Q11" s="20">
        <v>10</v>
      </c>
      <c r="R11" s="20">
        <v>86</v>
      </c>
      <c r="S11" s="15">
        <f>SUM(O11:R11)</f>
        <v>-167</v>
      </c>
      <c r="T11" s="4"/>
      <c r="U11" s="20">
        <v>-194</v>
      </c>
      <c r="V11" s="20">
        <v>-174</v>
      </c>
      <c r="W11" s="20">
        <v>-124</v>
      </c>
      <c r="X11" s="20">
        <v>156</v>
      </c>
      <c r="Y11" s="15">
        <f>SUM(U11:X11)</f>
        <v>-336</v>
      </c>
      <c r="Z11" s="4"/>
      <c r="AA11" s="20">
        <v>-189</v>
      </c>
      <c r="AB11" s="20">
        <v>28</v>
      </c>
      <c r="AC11" s="20">
        <v>-107</v>
      </c>
      <c r="AD11" s="20">
        <v>144</v>
      </c>
      <c r="AE11" s="15">
        <f>SUM(AA11:AD11)</f>
        <v>-124</v>
      </c>
      <c r="AF11" s="4"/>
      <c r="AG11" s="20">
        <v>-298</v>
      </c>
      <c r="AH11" s="20">
        <v>-155</v>
      </c>
      <c r="AI11" s="20">
        <v>-134</v>
      </c>
      <c r="AJ11" s="20">
        <v>-63</v>
      </c>
      <c r="AK11" s="15">
        <f>SUM(AG11:AJ11)</f>
        <v>-650</v>
      </c>
      <c r="AL11" s="4"/>
      <c r="AM11" s="20">
        <v>-378</v>
      </c>
      <c r="AN11" s="20">
        <v>-282</v>
      </c>
      <c r="AO11" s="20">
        <v>-60</v>
      </c>
      <c r="AP11" s="20">
        <v>12</v>
      </c>
      <c r="AQ11" s="15">
        <f>SUM(AM11:AP11)</f>
        <v>-708</v>
      </c>
      <c r="AR11" s="4"/>
      <c r="AS11" s="20">
        <v>-175</v>
      </c>
      <c r="AT11" s="20">
        <v>-234</v>
      </c>
      <c r="AU11" s="20">
        <v>125</v>
      </c>
      <c r="AV11" s="20">
        <v>158</v>
      </c>
      <c r="AW11" s="15">
        <f>SUM(AS11:AV11)</f>
        <v>-126</v>
      </c>
      <c r="AX11" s="4"/>
      <c r="AY11" s="20">
        <v>-513</v>
      </c>
      <c r="AZ11" s="20">
        <v>-416</v>
      </c>
      <c r="BA11" s="20">
        <v>-96</v>
      </c>
      <c r="BB11" s="74">
        <v>796</v>
      </c>
      <c r="BC11" s="15">
        <f>SUM(AY11:BB11)</f>
        <v>-229</v>
      </c>
      <c r="BD11" s="4"/>
      <c r="BE11" s="74">
        <v>75</v>
      </c>
      <c r="BF11" s="74">
        <v>-190</v>
      </c>
      <c r="BG11" s="74">
        <v>2</v>
      </c>
      <c r="BH11" s="74">
        <v>37</v>
      </c>
      <c r="BI11" s="15">
        <f>SUM(BE11:BH11)</f>
        <v>-76</v>
      </c>
      <c r="BK11" s="74">
        <v>-407</v>
      </c>
      <c r="BL11" s="74">
        <v>-499</v>
      </c>
      <c r="BM11" s="74">
        <f>-18-3-336</f>
        <v>-357</v>
      </c>
      <c r="BN11" s="74">
        <v>125</v>
      </c>
      <c r="BO11" s="15">
        <f>SUM(BK11:BN11)</f>
        <v>-1138</v>
      </c>
      <c r="BQ11" s="74">
        <v>-626</v>
      </c>
      <c r="BR11" s="74">
        <v>-77</v>
      </c>
      <c r="BS11" s="74">
        <v>193</v>
      </c>
      <c r="BT11" s="74">
        <v>345</v>
      </c>
      <c r="BU11" s="15">
        <f>SUM(BQ11:BT11)</f>
        <v>-165</v>
      </c>
      <c r="BW11" s="74">
        <v>-142</v>
      </c>
      <c r="BX11" s="74">
        <v>-111</v>
      </c>
      <c r="BY11" s="74"/>
      <c r="BZ11" s="74"/>
      <c r="CA11" s="15">
        <f>SUM(BW11:BZ11)</f>
        <v>-253</v>
      </c>
    </row>
    <row r="12" spans="1:79" ht="15.75" customHeight="1">
      <c r="A12" s="12" t="s">
        <v>153</v>
      </c>
      <c r="B12" s="6"/>
      <c r="C12" s="17">
        <f>SUM(C7:C11)</f>
        <v>-25</v>
      </c>
      <c r="D12" s="17">
        <f>SUM(D7:D11)</f>
        <v>107</v>
      </c>
      <c r="E12" s="17">
        <f>SUM(E7:E11)</f>
        <v>15</v>
      </c>
      <c r="F12" s="17">
        <f>SUM(F7:F11)</f>
        <v>349</v>
      </c>
      <c r="G12" s="18">
        <f>SUM(G7:G11)</f>
        <v>446</v>
      </c>
      <c r="H12" s="16"/>
      <c r="I12" s="17">
        <f>SUM(I7:I11)</f>
        <v>-71</v>
      </c>
      <c r="J12" s="17">
        <f>SUM(J7:J11)</f>
        <v>60</v>
      </c>
      <c r="K12" s="17">
        <f>SUM(K7:K11)</f>
        <v>141</v>
      </c>
      <c r="L12" s="17">
        <f>SUM(L7:L11)</f>
        <v>224</v>
      </c>
      <c r="M12" s="18">
        <f>SUM(M7:M11)</f>
        <v>354</v>
      </c>
      <c r="N12" s="12"/>
      <c r="O12" s="17">
        <f>SUM(O7:O11)</f>
        <v>-52</v>
      </c>
      <c r="P12" s="17">
        <f>SUM(P7:P11)</f>
        <v>-50</v>
      </c>
      <c r="Q12" s="17">
        <f>SUM(Q7:Q11)</f>
        <v>116</v>
      </c>
      <c r="R12" s="17">
        <f>SUM(R7:R11)</f>
        <v>221</v>
      </c>
      <c r="S12" s="18">
        <f>SUM(S7:S11)</f>
        <v>235</v>
      </c>
      <c r="T12" s="12"/>
      <c r="U12" s="17">
        <f>SUM(U7:U11)</f>
        <v>-124</v>
      </c>
      <c r="V12" s="17">
        <f>SUM(V7:V11)</f>
        <v>-38</v>
      </c>
      <c r="W12" s="17">
        <f>SUM(W7:W11)</f>
        <v>131</v>
      </c>
      <c r="X12" s="17">
        <f>SUM(X7:X11)</f>
        <v>301</v>
      </c>
      <c r="Y12" s="18">
        <f>SUM(Y7:Y11)</f>
        <v>270</v>
      </c>
      <c r="Z12" s="12"/>
      <c r="AA12" s="17">
        <f>SUM(AA7:AA11)</f>
        <v>-119</v>
      </c>
      <c r="AB12" s="17">
        <f>SUM(AB7:AB11)</f>
        <v>-20</v>
      </c>
      <c r="AC12" s="17">
        <f>SUM(AC7:AC11)</f>
        <v>149</v>
      </c>
      <c r="AD12" s="17">
        <f>SUM(AD7:AD11)</f>
        <v>275</v>
      </c>
      <c r="AE12" s="18">
        <f>SUM(AE7:AE11)</f>
        <v>285</v>
      </c>
      <c r="AF12" s="12"/>
      <c r="AG12" s="17">
        <f>SUM(AG7:AG11)</f>
        <v>-188</v>
      </c>
      <c r="AH12" s="17">
        <f>SUM(AH7:AH11)</f>
        <v>20</v>
      </c>
      <c r="AI12" s="17">
        <f>SUM(AI7:AI11)</f>
        <v>55</v>
      </c>
      <c r="AJ12" s="17">
        <f>SUM(AJ7:AJ11)</f>
        <v>154</v>
      </c>
      <c r="AK12" s="18">
        <f>SUM(AK7:AK11)</f>
        <v>41</v>
      </c>
      <c r="AL12" s="12"/>
      <c r="AM12" s="17">
        <f>SUM(AM7:AM11)</f>
        <v>-216</v>
      </c>
      <c r="AN12" s="17">
        <f>SUM(AN7:AN11)</f>
        <v>79</v>
      </c>
      <c r="AO12" s="17">
        <f>SUM(AO7:AO11)</f>
        <v>186</v>
      </c>
      <c r="AP12" s="17">
        <f>SUM(AP7:AP11)</f>
        <v>216</v>
      </c>
      <c r="AQ12" s="18">
        <f>SUM(AQ7:AQ11)</f>
        <v>265</v>
      </c>
      <c r="AR12" s="12"/>
      <c r="AS12" s="17">
        <f>SUM(AS7:AS11)</f>
        <v>50</v>
      </c>
      <c r="AT12" s="17">
        <f>SUM(AT7:AT11)</f>
        <v>140</v>
      </c>
      <c r="AU12" s="17">
        <f>SUM(AU7:AU11)</f>
        <v>425</v>
      </c>
      <c r="AV12" s="17">
        <f>SUM(AV7:AV11)</f>
        <v>547</v>
      </c>
      <c r="AW12" s="18">
        <f>SUM(AW7:AW11)</f>
        <v>1162</v>
      </c>
      <c r="AX12" s="12"/>
      <c r="AY12" s="17">
        <f>SUM(AY7:AY11)</f>
        <v>-250</v>
      </c>
      <c r="AZ12" s="17">
        <f>SUM(AZ7:AZ11)</f>
        <v>-23</v>
      </c>
      <c r="BA12" s="17">
        <f>SUM(BA7:BA11)</f>
        <v>179</v>
      </c>
      <c r="BB12" s="61">
        <f>SUM(BB7:BB11)</f>
        <v>857</v>
      </c>
      <c r="BC12" s="18">
        <f>SUM(BC7:BC11)</f>
        <v>763</v>
      </c>
      <c r="BD12" s="12"/>
      <c r="BE12" s="17">
        <f>SUM(BE7:BE11)</f>
        <v>167.3</v>
      </c>
      <c r="BF12" s="17">
        <f>SUM(BF7:BF11)</f>
        <v>21</v>
      </c>
      <c r="BG12" s="61">
        <f>SUM(BG7:BG11)</f>
        <v>203</v>
      </c>
      <c r="BH12" s="61">
        <f>SUM(BH7:BH11)</f>
        <v>191</v>
      </c>
      <c r="BI12" s="18">
        <f>SUM(BI7:BI11)</f>
        <v>582.29999999999995</v>
      </c>
      <c r="BK12" s="17">
        <f>SUM(BK7:BK11)</f>
        <v>-221</v>
      </c>
      <c r="BL12" s="61">
        <f>SUM(BL7:BL11)</f>
        <v>-263</v>
      </c>
      <c r="BM12" s="61">
        <f>SUM(BM7:BM11)</f>
        <v>-150</v>
      </c>
      <c r="BN12" s="61">
        <f>SUM(BN7:BN11)</f>
        <v>260</v>
      </c>
      <c r="BO12" s="18">
        <f>SUM(BO7:BO11)</f>
        <v>-374</v>
      </c>
      <c r="BQ12" s="17">
        <f>SUM(BQ7:BQ11)</f>
        <v>-453</v>
      </c>
      <c r="BR12" s="61">
        <f>SUM(BR7:BR11)</f>
        <v>72</v>
      </c>
      <c r="BS12" s="61">
        <f>SUM(BS7:BS11)</f>
        <v>399</v>
      </c>
      <c r="BT12" s="61">
        <f>SUM(BT7:BT11)</f>
        <v>540</v>
      </c>
      <c r="BU12" s="18">
        <f>SUM(BU7:BU11)</f>
        <v>558</v>
      </c>
      <c r="BW12" s="17">
        <f>SUM(BW7:BW11)</f>
        <v>27</v>
      </c>
      <c r="BX12" s="61">
        <f>SUM(BX7:BX11)</f>
        <v>66</v>
      </c>
      <c r="BY12" s="61">
        <f>SUM(BY7:BY11)</f>
        <v>0</v>
      </c>
      <c r="BZ12" s="61">
        <f>SUM(BZ7:BZ11)</f>
        <v>0</v>
      </c>
      <c r="CA12" s="18">
        <f>SUM(CA7:CA11)</f>
        <v>93</v>
      </c>
    </row>
    <row r="13" spans="1:79">
      <c r="C13" s="14"/>
      <c r="D13" s="14"/>
      <c r="E13" s="14"/>
      <c r="F13" s="14"/>
      <c r="G13" s="15"/>
      <c r="H13" s="16"/>
      <c r="I13" s="14"/>
      <c r="J13" s="14"/>
      <c r="K13" s="14"/>
      <c r="L13" s="14"/>
      <c r="M13" s="15"/>
      <c r="O13" s="14"/>
      <c r="P13" s="14"/>
      <c r="Q13" s="14"/>
      <c r="R13" s="14"/>
      <c r="S13" s="15"/>
      <c r="U13" s="14"/>
      <c r="V13" s="14"/>
      <c r="W13" s="14"/>
      <c r="X13" s="14"/>
      <c r="Y13" s="15"/>
      <c r="AA13" s="14"/>
      <c r="AB13" s="14"/>
      <c r="AC13" s="14"/>
      <c r="AD13" s="14"/>
      <c r="AE13" s="15"/>
      <c r="AG13" s="14"/>
      <c r="AH13" s="14"/>
      <c r="AI13" s="14"/>
      <c r="AJ13" s="14"/>
      <c r="AK13" s="15"/>
      <c r="AM13" s="14"/>
      <c r="AN13" s="14"/>
      <c r="AO13" s="14"/>
      <c r="AP13" s="14"/>
      <c r="AQ13" s="15"/>
      <c r="AS13" s="14"/>
      <c r="AT13" s="14"/>
      <c r="AU13" s="14"/>
      <c r="AV13" s="14"/>
      <c r="AW13" s="15"/>
      <c r="AY13" s="14"/>
      <c r="AZ13" s="14"/>
      <c r="BA13" s="14"/>
      <c r="BB13" s="58"/>
      <c r="BC13" s="15"/>
      <c r="BE13" s="14"/>
      <c r="BF13" s="14"/>
      <c r="BG13" s="58"/>
      <c r="BH13" s="58"/>
      <c r="BI13" s="15"/>
      <c r="BK13" s="14"/>
      <c r="BL13" s="58"/>
      <c r="BM13" s="58"/>
      <c r="BN13" s="58"/>
      <c r="BO13" s="15"/>
      <c r="BQ13" s="14"/>
      <c r="BR13" s="58"/>
      <c r="BS13" s="58"/>
      <c r="BT13" s="58"/>
      <c r="BU13" s="15"/>
      <c r="BW13" s="14"/>
      <c r="BX13" s="58"/>
      <c r="BY13" s="58"/>
      <c r="BZ13" s="58"/>
      <c r="CA13" s="15"/>
    </row>
    <row r="14" spans="1:79">
      <c r="A14" s="4" t="s">
        <v>72</v>
      </c>
      <c r="C14" s="14"/>
      <c r="D14" s="14"/>
      <c r="E14" s="14"/>
      <c r="F14" s="14"/>
      <c r="G14" s="15"/>
      <c r="H14" s="16"/>
      <c r="I14" s="14"/>
      <c r="J14" s="14"/>
      <c r="K14" s="14"/>
      <c r="L14" s="14"/>
      <c r="M14" s="15"/>
      <c r="O14" s="14"/>
      <c r="P14" s="14"/>
      <c r="Q14" s="14"/>
      <c r="R14" s="14"/>
      <c r="S14" s="15"/>
      <c r="U14" s="14">
        <v>-41</v>
      </c>
      <c r="V14" s="14">
        <v>-875</v>
      </c>
      <c r="W14" s="14">
        <v>0</v>
      </c>
      <c r="X14" s="14">
        <v>-56</v>
      </c>
      <c r="Y14" s="15">
        <f>SUM(U14:X14)</f>
        <v>-972</v>
      </c>
      <c r="AA14" s="14">
        <v>-41</v>
      </c>
      <c r="AB14" s="14">
        <v>-869</v>
      </c>
      <c r="AC14" s="14">
        <v>0</v>
      </c>
      <c r="AD14" s="14">
        <v>-17</v>
      </c>
      <c r="AE14" s="15">
        <f>SUM(AA14:AD14)</f>
        <v>-927</v>
      </c>
      <c r="AG14" s="14">
        <f>97-13</f>
        <v>84</v>
      </c>
      <c r="AH14" s="14">
        <v>0</v>
      </c>
      <c r="AI14" s="14">
        <v>0</v>
      </c>
      <c r="AJ14" s="14">
        <v>-7</v>
      </c>
      <c r="AK14" s="15">
        <f>SUM(AG14:AJ14)</f>
        <v>77</v>
      </c>
      <c r="AM14" s="14">
        <v>-10</v>
      </c>
      <c r="AN14" s="14">
        <v>0</v>
      </c>
      <c r="AO14" s="14">
        <v>0</v>
      </c>
      <c r="AP14" s="14">
        <v>-4</v>
      </c>
      <c r="AQ14" s="15">
        <f>SUM(AM14:AP14)</f>
        <v>-14</v>
      </c>
      <c r="AS14" s="14">
        <v>-953</v>
      </c>
      <c r="AT14" s="14">
        <v>-103</v>
      </c>
      <c r="AU14" s="14">
        <v>-297</v>
      </c>
      <c r="AV14" s="14">
        <v>-42</v>
      </c>
      <c r="AW14" s="15">
        <f>SUM(AS14:AV14)</f>
        <v>-1395</v>
      </c>
      <c r="AY14" s="14">
        <v>-97</v>
      </c>
      <c r="AZ14" s="14">
        <v>-94</v>
      </c>
      <c r="BA14" s="14">
        <v>-24</v>
      </c>
      <c r="BB14" s="58">
        <v>0</v>
      </c>
      <c r="BC14" s="15">
        <f>SUM(AY14:BB14)</f>
        <v>-215</v>
      </c>
      <c r="BE14" s="14">
        <v>0</v>
      </c>
      <c r="BF14" s="14">
        <v>0</v>
      </c>
      <c r="BG14" s="58">
        <v>0</v>
      </c>
      <c r="BH14" s="58">
        <v>-11</v>
      </c>
      <c r="BI14" s="15">
        <f>SUM(BE14:BH14)</f>
        <v>-11</v>
      </c>
      <c r="BK14" s="14">
        <v>0</v>
      </c>
      <c r="BL14" s="58">
        <v>-22</v>
      </c>
      <c r="BM14" s="58">
        <v>-6</v>
      </c>
      <c r="BN14" s="58">
        <v>-21</v>
      </c>
      <c r="BO14" s="15">
        <f>SUM(BK14:BN14)</f>
        <v>-49</v>
      </c>
      <c r="BQ14" s="14">
        <v>-110</v>
      </c>
      <c r="BR14" s="58">
        <v>-41</v>
      </c>
      <c r="BS14" s="58">
        <v>-58</v>
      </c>
      <c r="BT14" s="58">
        <v>-15</v>
      </c>
      <c r="BU14" s="15">
        <f>SUM(BQ14:BT14)</f>
        <v>-224</v>
      </c>
      <c r="BW14" s="14">
        <v>-7</v>
      </c>
      <c r="BX14" s="58">
        <v>0</v>
      </c>
      <c r="BY14" s="58"/>
      <c r="BZ14" s="58"/>
      <c r="CA14" s="15">
        <f>SUM(BW14:BZ14)</f>
        <v>-7</v>
      </c>
    </row>
    <row r="15" spans="1:79">
      <c r="A15" s="4" t="s">
        <v>154</v>
      </c>
      <c r="C15" s="14">
        <v>-57</v>
      </c>
      <c r="D15" s="14">
        <v>17</v>
      </c>
      <c r="E15" s="14">
        <v>-22</v>
      </c>
      <c r="F15" s="14">
        <v>-61</v>
      </c>
      <c r="G15" s="15">
        <f>SUM(C15:F15)</f>
        <v>-123</v>
      </c>
      <c r="H15" s="16"/>
      <c r="I15" s="14">
        <v>80</v>
      </c>
      <c r="J15" s="14">
        <v>-48</v>
      </c>
      <c r="K15" s="14">
        <v>32</v>
      </c>
      <c r="L15" s="14">
        <v>-7</v>
      </c>
      <c r="M15" s="15">
        <f>SUM(I15:L15)</f>
        <v>57</v>
      </c>
      <c r="O15" s="14">
        <v>-20</v>
      </c>
      <c r="P15" s="14">
        <v>-23</v>
      </c>
      <c r="Q15" s="14">
        <v>-29</v>
      </c>
      <c r="R15" s="14">
        <v>-44</v>
      </c>
      <c r="S15" s="15">
        <f>SUM(O15:R15)</f>
        <v>-116</v>
      </c>
      <c r="U15" s="14">
        <v>-41</v>
      </c>
      <c r="V15" s="14">
        <v>-52</v>
      </c>
      <c r="W15" s="14">
        <v>199</v>
      </c>
      <c r="X15" s="14">
        <v>29</v>
      </c>
      <c r="Y15" s="15">
        <f>SUM(U15:X15)</f>
        <v>135</v>
      </c>
      <c r="AA15" s="14">
        <v>-39</v>
      </c>
      <c r="AB15" s="14">
        <v>-51</v>
      </c>
      <c r="AC15" s="14">
        <v>199</v>
      </c>
      <c r="AD15" s="14">
        <v>31</v>
      </c>
      <c r="AE15" s="15">
        <f>SUM(AA15:AD15)</f>
        <v>140</v>
      </c>
      <c r="AG15" s="14">
        <v>-28</v>
      </c>
      <c r="AH15" s="14">
        <v>-15</v>
      </c>
      <c r="AI15" s="14">
        <v>-56</v>
      </c>
      <c r="AJ15" s="14">
        <v>-6</v>
      </c>
      <c r="AK15" s="15">
        <f>SUM(AG15:AJ15)</f>
        <v>-105</v>
      </c>
      <c r="AM15" s="14">
        <v>-67</v>
      </c>
      <c r="AN15" s="14">
        <v>176</v>
      </c>
      <c r="AO15" s="14">
        <v>-46</v>
      </c>
      <c r="AP15" s="14">
        <v>-92</v>
      </c>
      <c r="AQ15" s="15">
        <f>SUM(AM15:AP15)</f>
        <v>-29</v>
      </c>
      <c r="AR15" s="4" t="s">
        <v>86</v>
      </c>
      <c r="AS15" s="14">
        <v>-89</v>
      </c>
      <c r="AT15" s="14">
        <v>-85</v>
      </c>
      <c r="AU15" s="14">
        <v>-84</v>
      </c>
      <c r="AV15" s="14">
        <v>-131</v>
      </c>
      <c r="AW15" s="15">
        <f>SUM(AS15:AV15)</f>
        <v>-389</v>
      </c>
      <c r="AX15" s="4" t="s">
        <v>86</v>
      </c>
      <c r="AY15" s="14">
        <v>187</v>
      </c>
      <c r="AZ15" s="14">
        <v>-154</v>
      </c>
      <c r="BA15" s="14">
        <f>-408-33+272</f>
        <v>-169</v>
      </c>
      <c r="BB15" s="58">
        <v>-304</v>
      </c>
      <c r="BC15" s="15">
        <f>SUM(AY15:BB15)</f>
        <v>-440</v>
      </c>
      <c r="BD15" s="4" t="s">
        <v>86</v>
      </c>
      <c r="BE15" s="14">
        <v>-166</v>
      </c>
      <c r="BF15" s="84">
        <v>-255</v>
      </c>
      <c r="BG15" s="58">
        <v>-247</v>
      </c>
      <c r="BH15" s="58">
        <v>-200</v>
      </c>
      <c r="BI15" s="15">
        <f>SUM(BE15:BH15)</f>
        <v>-868</v>
      </c>
      <c r="BK15" s="14">
        <v>-295</v>
      </c>
      <c r="BL15" s="58">
        <v>-153</v>
      </c>
      <c r="BM15" s="58">
        <v>-131</v>
      </c>
      <c r="BN15" s="58">
        <v>-144</v>
      </c>
      <c r="BO15" s="15">
        <f>SUM(BK15:BN15)</f>
        <v>-723</v>
      </c>
      <c r="BQ15" s="14">
        <v>-93</v>
      </c>
      <c r="BR15" s="58">
        <v>-109</v>
      </c>
      <c r="BS15" s="58">
        <v>-100</v>
      </c>
      <c r="BT15" s="58">
        <v>-125</v>
      </c>
      <c r="BU15" s="15">
        <f>SUM(BQ15:BT15)</f>
        <v>-427</v>
      </c>
      <c r="BW15" s="14">
        <v>-88</v>
      </c>
      <c r="BX15" s="58">
        <v>-67</v>
      </c>
      <c r="BY15" s="58"/>
      <c r="BZ15" s="58"/>
      <c r="CA15" s="15">
        <f>SUM(BW15:BZ15)</f>
        <v>-155</v>
      </c>
    </row>
    <row r="16" spans="1:79" ht="15" customHeight="1">
      <c r="A16" s="4" t="s">
        <v>45</v>
      </c>
      <c r="C16" s="14">
        <v>0</v>
      </c>
      <c r="D16" s="14">
        <v>0</v>
      </c>
      <c r="E16" s="14">
        <v>0</v>
      </c>
      <c r="F16" s="14">
        <v>0</v>
      </c>
      <c r="G16" s="15">
        <f>SUM(C16:F16)</f>
        <v>0</v>
      </c>
      <c r="H16" s="16"/>
      <c r="I16" s="14">
        <v>-16</v>
      </c>
      <c r="J16" s="14">
        <v>0</v>
      </c>
      <c r="K16" s="14">
        <v>0</v>
      </c>
      <c r="L16" s="14">
        <v>90</v>
      </c>
      <c r="M16" s="15">
        <f>SUM(I16:L16)</f>
        <v>74</v>
      </c>
      <c r="O16" s="14">
        <v>0</v>
      </c>
      <c r="P16" s="14">
        <v>0</v>
      </c>
      <c r="Q16" s="14">
        <v>0</v>
      </c>
      <c r="R16" s="14">
        <v>0</v>
      </c>
      <c r="S16" s="15">
        <f>SUM(O16:R16)</f>
        <v>0</v>
      </c>
      <c r="U16" s="14">
        <v>29</v>
      </c>
      <c r="V16" s="14">
        <v>0</v>
      </c>
      <c r="W16" s="14">
        <v>0</v>
      </c>
      <c r="X16" s="14"/>
      <c r="Y16" s="15">
        <f>SUM(U16:X16)</f>
        <v>29</v>
      </c>
      <c r="AA16" s="14"/>
      <c r="AB16" s="14"/>
      <c r="AC16" s="14"/>
      <c r="AD16" s="14"/>
      <c r="AE16" s="15">
        <f>SUM(AA16:AD16)</f>
        <v>0</v>
      </c>
      <c r="AG16" s="14">
        <v>-20</v>
      </c>
      <c r="AH16" s="14">
        <v>0</v>
      </c>
      <c r="AI16" s="14">
        <v>0</v>
      </c>
      <c r="AJ16" s="14">
        <v>0</v>
      </c>
      <c r="AK16" s="15">
        <f>SUM(AG16:AJ16)</f>
        <v>-20</v>
      </c>
      <c r="AM16" s="14">
        <v>0</v>
      </c>
      <c r="AN16" s="14">
        <v>0</v>
      </c>
      <c r="AO16" s="14">
        <v>-58</v>
      </c>
      <c r="AP16" s="14">
        <v>0</v>
      </c>
      <c r="AQ16" s="15">
        <f>SUM(AM16:AP16)</f>
        <v>-58</v>
      </c>
      <c r="AS16" s="14">
        <v>0</v>
      </c>
      <c r="AT16" s="14">
        <v>0</v>
      </c>
      <c r="AU16" s="14">
        <v>0</v>
      </c>
      <c r="AV16" s="14">
        <v>0</v>
      </c>
      <c r="AW16" s="15">
        <f>SUM(AS16:AV16)</f>
        <v>0</v>
      </c>
      <c r="AY16" s="14">
        <v>0</v>
      </c>
      <c r="AZ16" s="14">
        <v>0</v>
      </c>
      <c r="BA16" s="14">
        <v>0</v>
      </c>
      <c r="BB16" s="58">
        <v>0</v>
      </c>
      <c r="BC16" s="15">
        <f>SUM(AY16:BB16)</f>
        <v>0</v>
      </c>
      <c r="BE16" s="14">
        <v>0</v>
      </c>
      <c r="BF16" s="84">
        <v>0</v>
      </c>
      <c r="BG16" s="58">
        <v>0</v>
      </c>
      <c r="BH16" s="58">
        <v>-23</v>
      </c>
      <c r="BI16" s="15">
        <f>SUM(BE16:BH16)</f>
        <v>-23</v>
      </c>
      <c r="BK16" s="14">
        <v>0</v>
      </c>
      <c r="BL16" s="58">
        <v>0</v>
      </c>
      <c r="BM16" s="58">
        <v>0</v>
      </c>
      <c r="BN16" s="58">
        <v>0</v>
      </c>
      <c r="BO16" s="15">
        <f>SUM(BK16:BN16)</f>
        <v>0</v>
      </c>
      <c r="BQ16" s="14">
        <v>0</v>
      </c>
      <c r="BR16" s="58">
        <v>0</v>
      </c>
      <c r="BS16" s="58">
        <v>0</v>
      </c>
      <c r="BT16" s="58">
        <v>0</v>
      </c>
      <c r="BU16" s="15">
        <f>SUM(BQ16:BT16)</f>
        <v>0</v>
      </c>
      <c r="BW16" s="14">
        <v>0</v>
      </c>
      <c r="BX16" s="58">
        <v>0</v>
      </c>
      <c r="BY16" s="58"/>
      <c r="BZ16" s="58"/>
      <c r="CA16" s="15">
        <f>SUM(BW16:BZ16)</f>
        <v>0</v>
      </c>
    </row>
    <row r="17" spans="1:81">
      <c r="A17" s="4" t="s">
        <v>112</v>
      </c>
      <c r="C17" s="14"/>
      <c r="D17" s="14"/>
      <c r="E17" s="14"/>
      <c r="F17" s="14"/>
      <c r="G17" s="15"/>
      <c r="H17" s="16"/>
      <c r="I17" s="14"/>
      <c r="J17" s="14"/>
      <c r="K17" s="14"/>
      <c r="L17" s="14"/>
      <c r="M17" s="15"/>
      <c r="O17" s="14"/>
      <c r="P17" s="14"/>
      <c r="Q17" s="14"/>
      <c r="R17" s="14"/>
      <c r="S17" s="15"/>
      <c r="U17" s="14"/>
      <c r="V17" s="14"/>
      <c r="W17" s="14"/>
      <c r="X17" s="14"/>
      <c r="Y17" s="15"/>
      <c r="AA17" s="14"/>
      <c r="AB17" s="14"/>
      <c r="AC17" s="14"/>
      <c r="AD17" s="14"/>
      <c r="AE17" s="15"/>
      <c r="AG17" s="14"/>
      <c r="AH17" s="14"/>
      <c r="AI17" s="14"/>
      <c r="AJ17" s="14"/>
      <c r="AK17" s="15"/>
      <c r="AM17" s="14"/>
      <c r="AN17" s="14"/>
      <c r="AO17" s="14"/>
      <c r="AP17" s="14"/>
      <c r="AQ17" s="15"/>
      <c r="AS17" s="14">
        <v>36</v>
      </c>
      <c r="AT17" s="14">
        <v>0</v>
      </c>
      <c r="AU17" s="14">
        <v>0</v>
      </c>
      <c r="AV17" s="14">
        <v>0</v>
      </c>
      <c r="AW17" s="15">
        <f>SUM(AS17:AV17)</f>
        <v>36</v>
      </c>
      <c r="AY17" s="14">
        <v>26</v>
      </c>
      <c r="AZ17" s="14">
        <v>0</v>
      </c>
      <c r="BA17" s="14">
        <v>0</v>
      </c>
      <c r="BB17" s="58">
        <v>0</v>
      </c>
      <c r="BC17" s="15">
        <f>SUM(AY17:BB17)</f>
        <v>26</v>
      </c>
      <c r="BE17" s="14">
        <v>0</v>
      </c>
      <c r="BF17" s="84">
        <v>0</v>
      </c>
      <c r="BG17" s="58">
        <v>0</v>
      </c>
      <c r="BH17" s="58">
        <v>0</v>
      </c>
      <c r="BI17" s="15">
        <f>SUM(BE17:BH17)</f>
        <v>0</v>
      </c>
      <c r="BK17" s="14">
        <v>0</v>
      </c>
      <c r="BL17" s="58">
        <v>77</v>
      </c>
      <c r="BM17" s="58">
        <v>0</v>
      </c>
      <c r="BN17" s="58">
        <v>0</v>
      </c>
      <c r="BO17" s="15">
        <f>SUM(BK17:BN17)</f>
        <v>77</v>
      </c>
      <c r="BQ17" s="14">
        <v>0</v>
      </c>
      <c r="BR17" s="58">
        <v>0</v>
      </c>
      <c r="BS17" s="58">
        <v>0</v>
      </c>
      <c r="BT17" s="58">
        <v>0</v>
      </c>
      <c r="BU17" s="15">
        <f>SUM(BQ17:BT17)</f>
        <v>0</v>
      </c>
      <c r="BW17" s="14">
        <v>0</v>
      </c>
      <c r="BX17" s="58">
        <v>0</v>
      </c>
      <c r="BY17" s="58"/>
      <c r="BZ17" s="58"/>
      <c r="CA17" s="15">
        <f>SUM(BW17:BZ17)</f>
        <v>0</v>
      </c>
    </row>
    <row r="18" spans="1:81" s="12" customFormat="1" ht="12.75" customHeight="1">
      <c r="A18" s="4" t="s">
        <v>36</v>
      </c>
      <c r="B18" s="10"/>
      <c r="C18" s="20">
        <v>-19</v>
      </c>
      <c r="D18" s="20">
        <v>-18</v>
      </c>
      <c r="E18" s="20">
        <v>-4</v>
      </c>
      <c r="F18" s="20">
        <v>-6</v>
      </c>
      <c r="G18" s="15">
        <f>SUM(C18:F18)</f>
        <v>-47</v>
      </c>
      <c r="H18" s="16"/>
      <c r="I18" s="20">
        <v>-30</v>
      </c>
      <c r="J18" s="20">
        <v>-14</v>
      </c>
      <c r="K18" s="20">
        <v>-27</v>
      </c>
      <c r="L18" s="20">
        <v>-23</v>
      </c>
      <c r="M18" s="15">
        <f>SUM(I18:L18)</f>
        <v>-94</v>
      </c>
      <c r="N18" s="4"/>
      <c r="O18" s="20">
        <v>-11</v>
      </c>
      <c r="P18" s="20">
        <v>1</v>
      </c>
      <c r="Q18" s="20">
        <v>-17</v>
      </c>
      <c r="R18" s="20">
        <v>-7</v>
      </c>
      <c r="S18" s="15">
        <f>SUM(O18:R18)</f>
        <v>-34</v>
      </c>
      <c r="T18" s="4"/>
      <c r="U18" s="20">
        <f>-52+41</f>
        <v>-11</v>
      </c>
      <c r="V18" s="20">
        <v>20</v>
      </c>
      <c r="W18" s="20">
        <v>-29</v>
      </c>
      <c r="X18" s="20">
        <v>4</v>
      </c>
      <c r="Y18" s="15">
        <f>SUM(U18:X18)</f>
        <v>-16</v>
      </c>
      <c r="Z18" s="4"/>
      <c r="AA18" s="20">
        <v>-41</v>
      </c>
      <c r="AB18" s="20">
        <v>19</v>
      </c>
      <c r="AC18" s="20">
        <v>-28</v>
      </c>
      <c r="AD18" s="20">
        <v>2</v>
      </c>
      <c r="AE18" s="15">
        <f>SUM(AA18:AD18)</f>
        <v>-48</v>
      </c>
      <c r="AF18" s="4"/>
      <c r="AG18" s="20">
        <v>-12</v>
      </c>
      <c r="AH18" s="20">
        <v>-12</v>
      </c>
      <c r="AI18" s="20">
        <v>-14</v>
      </c>
      <c r="AJ18" s="20">
        <v>-31</v>
      </c>
      <c r="AK18" s="15">
        <f>SUM(AG18:AJ18)</f>
        <v>-69</v>
      </c>
      <c r="AL18" s="4"/>
      <c r="AM18" s="20">
        <v>-38</v>
      </c>
      <c r="AN18" s="20">
        <v>-21</v>
      </c>
      <c r="AO18" s="20">
        <v>-26</v>
      </c>
      <c r="AP18" s="20">
        <v>-9</v>
      </c>
      <c r="AQ18" s="15">
        <f>SUM(AM18:AP18)</f>
        <v>-94</v>
      </c>
      <c r="AR18" s="4"/>
      <c r="AS18" s="20">
        <v>-23</v>
      </c>
      <c r="AT18" s="20">
        <v>-51</v>
      </c>
      <c r="AU18" s="20">
        <v>-27</v>
      </c>
      <c r="AV18" s="20">
        <v>-46</v>
      </c>
      <c r="AW18" s="15">
        <f>SUM(AS18:AV18)</f>
        <v>-147</v>
      </c>
      <c r="AX18" s="4"/>
      <c r="AY18" s="20">
        <v>-51</v>
      </c>
      <c r="AZ18" s="20">
        <v>-36</v>
      </c>
      <c r="BA18" s="74">
        <v>-16</v>
      </c>
      <c r="BB18" s="74">
        <v>-44</v>
      </c>
      <c r="BC18" s="15">
        <f>SUM(AY18:BB18)</f>
        <v>-147</v>
      </c>
      <c r="BD18" s="4"/>
      <c r="BE18" s="20">
        <v>-39</v>
      </c>
      <c r="BF18" s="85">
        <v>-41</v>
      </c>
      <c r="BG18" s="74">
        <v>-36</v>
      </c>
      <c r="BH18" s="74">
        <v>-10</v>
      </c>
      <c r="BI18" s="15">
        <f>SUM(BE18:BH18)</f>
        <v>-126</v>
      </c>
      <c r="BK18" s="20">
        <v>-26</v>
      </c>
      <c r="BL18" s="74">
        <v>-39</v>
      </c>
      <c r="BM18" s="74">
        <v>-26</v>
      </c>
      <c r="BN18" s="74">
        <v>-63</v>
      </c>
      <c r="BO18" s="15">
        <f>SUM(BK18:BN18)</f>
        <v>-154</v>
      </c>
      <c r="BQ18" s="20">
        <v>-29</v>
      </c>
      <c r="BR18" s="74">
        <v>-38</v>
      </c>
      <c r="BS18" s="74">
        <v>-37</v>
      </c>
      <c r="BT18" s="74">
        <v>-52</v>
      </c>
      <c r="BU18" s="15">
        <f>SUM(BQ18:BT18)</f>
        <v>-156</v>
      </c>
      <c r="BW18" s="20">
        <v>-39</v>
      </c>
      <c r="BX18" s="74">
        <v>-52</v>
      </c>
      <c r="BY18" s="74"/>
      <c r="BZ18" s="74"/>
      <c r="CA18" s="15">
        <f>SUM(BW18:BZ18)</f>
        <v>-91</v>
      </c>
    </row>
    <row r="19" spans="1:81">
      <c r="A19" s="12" t="s">
        <v>155</v>
      </c>
      <c r="B19" s="6"/>
      <c r="C19" s="17">
        <f>SUM(C15:C18)</f>
        <v>-76</v>
      </c>
      <c r="D19" s="17">
        <f>SUM(D15:D18)</f>
        <v>-1</v>
      </c>
      <c r="E19" s="17">
        <f>SUM(E15:E18)</f>
        <v>-26</v>
      </c>
      <c r="F19" s="17">
        <f>SUM(F15:F18)</f>
        <v>-67</v>
      </c>
      <c r="G19" s="18">
        <f>SUM(G15:G18)</f>
        <v>-170</v>
      </c>
      <c r="H19" s="16"/>
      <c r="I19" s="17">
        <f>SUM(I15:I18)</f>
        <v>34</v>
      </c>
      <c r="J19" s="17">
        <f>SUM(J15:J18)</f>
        <v>-62</v>
      </c>
      <c r="K19" s="17">
        <f>SUM(K15:K18)</f>
        <v>5</v>
      </c>
      <c r="L19" s="17">
        <f>SUM(L15:L18)</f>
        <v>60</v>
      </c>
      <c r="M19" s="18">
        <f>SUM(M15:M18)</f>
        <v>37</v>
      </c>
      <c r="N19" s="12"/>
      <c r="O19" s="17">
        <f>SUM(O15:O18)</f>
        <v>-31</v>
      </c>
      <c r="P19" s="17">
        <f>SUM(P15:P18)</f>
        <v>-22</v>
      </c>
      <c r="Q19" s="17">
        <f>SUM(Q15:Q18)</f>
        <v>-46</v>
      </c>
      <c r="R19" s="17">
        <f>SUM(R15:R18)</f>
        <v>-51</v>
      </c>
      <c r="S19" s="18">
        <f>SUM(S15:S18)</f>
        <v>-150</v>
      </c>
      <c r="T19" s="12"/>
      <c r="U19" s="17">
        <f>SUM(U14:U18)</f>
        <v>-64</v>
      </c>
      <c r="V19" s="17">
        <f>SUM(V14:V18)</f>
        <v>-907</v>
      </c>
      <c r="W19" s="17">
        <f>SUM(W14:W18)</f>
        <v>170</v>
      </c>
      <c r="X19" s="17">
        <f>SUM(X14:X18)</f>
        <v>-23</v>
      </c>
      <c r="Y19" s="18">
        <f>SUM(Y14:Y18)</f>
        <v>-824</v>
      </c>
      <c r="Z19" s="12"/>
      <c r="AA19" s="17">
        <f>SUM(AA14:AA18)</f>
        <v>-121</v>
      </c>
      <c r="AB19" s="17">
        <f>SUM(AB14:AB18)</f>
        <v>-901</v>
      </c>
      <c r="AC19" s="17">
        <f>SUM(AC14:AC18)</f>
        <v>171</v>
      </c>
      <c r="AD19" s="17">
        <f>SUM(AD14:AD18)</f>
        <v>16</v>
      </c>
      <c r="AE19" s="18">
        <f>SUM(AE14:AE18)</f>
        <v>-835</v>
      </c>
      <c r="AF19" s="12"/>
      <c r="AG19" s="17">
        <f>SUM(AG14:AG18)</f>
        <v>24</v>
      </c>
      <c r="AH19" s="17">
        <f>SUM(AH14:AH18)</f>
        <v>-27</v>
      </c>
      <c r="AI19" s="17">
        <f>SUM(AI14:AI18)</f>
        <v>-70</v>
      </c>
      <c r="AJ19" s="17">
        <f>SUM(AJ14:AJ18)</f>
        <v>-44</v>
      </c>
      <c r="AK19" s="18">
        <f>SUM(AK14:AK18)</f>
        <v>-117</v>
      </c>
      <c r="AL19" s="12"/>
      <c r="AM19" s="17">
        <f>SUM(AM14:AM18)</f>
        <v>-115</v>
      </c>
      <c r="AN19" s="17">
        <f>SUM(AN14:AN18)</f>
        <v>155</v>
      </c>
      <c r="AO19" s="17">
        <f>SUM(AO14:AO18)</f>
        <v>-130</v>
      </c>
      <c r="AP19" s="17">
        <f>SUM(AP14:AP18)</f>
        <v>-105</v>
      </c>
      <c r="AQ19" s="18">
        <f>SUM(AQ14:AQ18)</f>
        <v>-195</v>
      </c>
      <c r="AR19" s="12"/>
      <c r="AS19" s="17">
        <f>SUM(AS14:AS18)</f>
        <v>-1029</v>
      </c>
      <c r="AT19" s="17">
        <f>SUM(AT14:AT18)</f>
        <v>-239</v>
      </c>
      <c r="AU19" s="17">
        <f>SUM(AU14:AU18)</f>
        <v>-408</v>
      </c>
      <c r="AV19" s="17">
        <f>SUM(AV14:AV18)</f>
        <v>-219</v>
      </c>
      <c r="AW19" s="18">
        <f>SUM(AW14:AW18)</f>
        <v>-1895</v>
      </c>
      <c r="AX19" s="12"/>
      <c r="AY19" s="17">
        <f>SUM(AY14:AY18)</f>
        <v>65</v>
      </c>
      <c r="AZ19" s="17">
        <f>SUM(AZ14:AZ18)</f>
        <v>-284</v>
      </c>
      <c r="BA19" s="17">
        <f>SUM(BA14:BA18)</f>
        <v>-209</v>
      </c>
      <c r="BB19" s="61">
        <f>SUM(BB14:BB18)</f>
        <v>-348</v>
      </c>
      <c r="BC19" s="18">
        <f>SUM(BC14:BC18)</f>
        <v>-776</v>
      </c>
      <c r="BD19" s="12"/>
      <c r="BE19" s="17">
        <f>SUM(BE14:BE18)</f>
        <v>-205</v>
      </c>
      <c r="BF19" s="17">
        <f>SUM(BF14:BF18)</f>
        <v>-296</v>
      </c>
      <c r="BG19" s="61">
        <f>SUM(BG14:BG18)</f>
        <v>-283</v>
      </c>
      <c r="BH19" s="61">
        <f>SUM(BH14:BH18)</f>
        <v>-244</v>
      </c>
      <c r="BI19" s="18">
        <f>SUM(BI14:BI18)</f>
        <v>-1028</v>
      </c>
      <c r="BK19" s="17">
        <f>SUM(BK14:BK18)</f>
        <v>-321</v>
      </c>
      <c r="BL19" s="61">
        <f>SUM(BL14:BL18)</f>
        <v>-137</v>
      </c>
      <c r="BM19" s="61">
        <f>SUM(BM14:BM18)</f>
        <v>-163</v>
      </c>
      <c r="BN19" s="61">
        <f>SUM(BN14:BN18)</f>
        <v>-228</v>
      </c>
      <c r="BO19" s="18">
        <f>SUM(BO14:BO18)</f>
        <v>-849</v>
      </c>
      <c r="BQ19" s="17">
        <f>SUM(BQ14:BQ18)</f>
        <v>-232</v>
      </c>
      <c r="BR19" s="61">
        <f>SUM(BR14:BR18)</f>
        <v>-188</v>
      </c>
      <c r="BS19" s="61">
        <f>SUM(BS14:BS18)</f>
        <v>-195</v>
      </c>
      <c r="BT19" s="61">
        <f>SUM(BT14:BT18)</f>
        <v>-192</v>
      </c>
      <c r="BU19" s="18">
        <f>SUM(BU14:BU18)</f>
        <v>-807</v>
      </c>
      <c r="BW19" s="17">
        <f>SUM(BW14:BW18)</f>
        <v>-134</v>
      </c>
      <c r="BX19" s="61">
        <f>SUM(BX14:BX18)</f>
        <v>-119</v>
      </c>
      <c r="BY19" s="61">
        <f>SUM(BY14:BY18)</f>
        <v>0</v>
      </c>
      <c r="BZ19" s="61">
        <f>SUM(BZ14:BZ18)</f>
        <v>0</v>
      </c>
      <c r="CA19" s="18">
        <f>SUM(CA14:CA18)</f>
        <v>-253</v>
      </c>
    </row>
    <row r="20" spans="1:81" s="12" customFormat="1" ht="18.75" customHeight="1">
      <c r="A20" s="4"/>
      <c r="B20" s="10"/>
      <c r="C20" s="14"/>
      <c r="D20" s="14"/>
      <c r="E20" s="14"/>
      <c r="F20" s="14"/>
      <c r="G20" s="15"/>
      <c r="H20" s="16"/>
      <c r="I20" s="14"/>
      <c r="J20" s="14"/>
      <c r="K20" s="14"/>
      <c r="L20" s="14"/>
      <c r="M20" s="15"/>
      <c r="N20" s="4"/>
      <c r="O20" s="14"/>
      <c r="P20" s="14"/>
      <c r="Q20" s="14"/>
      <c r="R20" s="14"/>
      <c r="S20" s="15"/>
      <c r="T20" s="4"/>
      <c r="U20" s="14"/>
      <c r="V20" s="14"/>
      <c r="W20" s="14"/>
      <c r="X20" s="14"/>
      <c r="Y20" s="15"/>
      <c r="Z20" s="4"/>
      <c r="AA20" s="14"/>
      <c r="AB20" s="14"/>
      <c r="AC20" s="14"/>
      <c r="AD20" s="14"/>
      <c r="AE20" s="15"/>
      <c r="AF20" s="4"/>
      <c r="AG20" s="14"/>
      <c r="AH20" s="14"/>
      <c r="AI20" s="14"/>
      <c r="AJ20" s="14"/>
      <c r="AK20" s="15"/>
      <c r="AL20" s="4"/>
      <c r="AM20" s="14"/>
      <c r="AN20" s="14"/>
      <c r="AO20" s="14"/>
      <c r="AP20" s="14"/>
      <c r="AQ20" s="15"/>
      <c r="AR20" s="4"/>
      <c r="AS20" s="14"/>
      <c r="AT20" s="14"/>
      <c r="AU20" s="14"/>
      <c r="AV20" s="14"/>
      <c r="AW20" s="15"/>
      <c r="AX20" s="4"/>
      <c r="AY20" s="14"/>
      <c r="AZ20" s="14"/>
      <c r="BA20" s="14"/>
      <c r="BB20" s="58"/>
      <c r="BC20" s="15"/>
      <c r="BD20" s="4"/>
      <c r="BE20" s="14"/>
      <c r="BF20" s="14"/>
      <c r="BG20" s="58"/>
      <c r="BH20" s="58"/>
      <c r="BI20" s="15"/>
      <c r="BK20" s="14"/>
      <c r="BL20" s="58"/>
      <c r="BM20" s="58"/>
      <c r="BN20" s="58"/>
      <c r="BO20" s="15"/>
      <c r="BQ20" s="14"/>
      <c r="BR20" s="58"/>
      <c r="BS20" s="58"/>
      <c r="BT20" s="58"/>
      <c r="BU20" s="15"/>
      <c r="BW20" s="14"/>
      <c r="BX20" s="58"/>
      <c r="BY20" s="58"/>
      <c r="BZ20" s="58"/>
      <c r="CA20" s="15"/>
    </row>
    <row r="21" spans="1:81">
      <c r="A21" s="12" t="s">
        <v>156</v>
      </c>
      <c r="B21" s="6"/>
      <c r="C21" s="19">
        <f>C12+C19</f>
        <v>-101</v>
      </c>
      <c r="D21" s="19">
        <f>D12+D19</f>
        <v>106</v>
      </c>
      <c r="E21" s="19">
        <f>E12+E19</f>
        <v>-11</v>
      </c>
      <c r="F21" s="19">
        <f>F12+F19</f>
        <v>282</v>
      </c>
      <c r="G21" s="15">
        <f>G12+G19</f>
        <v>276</v>
      </c>
      <c r="H21" s="16"/>
      <c r="I21" s="19">
        <f>I12+I19</f>
        <v>-37</v>
      </c>
      <c r="J21" s="19">
        <f>J12+J19</f>
        <v>-2</v>
      </c>
      <c r="K21" s="19">
        <f>K12+K19</f>
        <v>146</v>
      </c>
      <c r="L21" s="19">
        <f>L12+L19</f>
        <v>284</v>
      </c>
      <c r="M21" s="15">
        <f>M12+M19</f>
        <v>391</v>
      </c>
      <c r="N21" s="12"/>
      <c r="O21" s="19">
        <f>O12+O19</f>
        <v>-83</v>
      </c>
      <c r="P21" s="19">
        <f>P12+P19</f>
        <v>-72</v>
      </c>
      <c r="Q21" s="19">
        <f>Q12+Q19</f>
        <v>70</v>
      </c>
      <c r="R21" s="19">
        <f>R12+R19</f>
        <v>170</v>
      </c>
      <c r="S21" s="15">
        <f>S12+S19</f>
        <v>85</v>
      </c>
      <c r="T21" s="12"/>
      <c r="U21" s="19">
        <f>U12+U19</f>
        <v>-188</v>
      </c>
      <c r="V21" s="19">
        <f>V12+V19</f>
        <v>-945</v>
      </c>
      <c r="W21" s="19">
        <f>W12+W19</f>
        <v>301</v>
      </c>
      <c r="X21" s="19">
        <f>X12+X19</f>
        <v>278</v>
      </c>
      <c r="Y21" s="15">
        <f>Y12+Y19</f>
        <v>-554</v>
      </c>
      <c r="Z21" s="12"/>
      <c r="AA21" s="19">
        <f>AA12+AA19</f>
        <v>-240</v>
      </c>
      <c r="AB21" s="19">
        <f>AB12+AB19</f>
        <v>-921</v>
      </c>
      <c r="AC21" s="19">
        <f>AC12+AC19</f>
        <v>320</v>
      </c>
      <c r="AD21" s="19">
        <f>AD12+AD19</f>
        <v>291</v>
      </c>
      <c r="AE21" s="15">
        <f>AE12+AE19</f>
        <v>-550</v>
      </c>
      <c r="AF21" s="12"/>
      <c r="AG21" s="19">
        <f>AG12+AG19</f>
        <v>-164</v>
      </c>
      <c r="AH21" s="19">
        <f>AH12+AH19</f>
        <v>-7</v>
      </c>
      <c r="AI21" s="19">
        <f>AI12+AI19</f>
        <v>-15</v>
      </c>
      <c r="AJ21" s="19">
        <f>AJ12+AJ19</f>
        <v>110</v>
      </c>
      <c r="AK21" s="15">
        <f>AK12+AK19</f>
        <v>-76</v>
      </c>
      <c r="AL21" s="12"/>
      <c r="AM21" s="19">
        <f>AM12+AM19</f>
        <v>-331</v>
      </c>
      <c r="AN21" s="19">
        <f>AN12+AN19</f>
        <v>234</v>
      </c>
      <c r="AO21" s="19">
        <f>AO12+AO19</f>
        <v>56</v>
      </c>
      <c r="AP21" s="19">
        <f>AP12+AP19</f>
        <v>111</v>
      </c>
      <c r="AQ21" s="15">
        <f>AQ12+AQ19</f>
        <v>70</v>
      </c>
      <c r="AR21" s="12"/>
      <c r="AS21" s="19">
        <f>AS12+AS19</f>
        <v>-979</v>
      </c>
      <c r="AT21" s="19">
        <f>AT12+AT19</f>
        <v>-99</v>
      </c>
      <c r="AU21" s="19">
        <f>AU12+AU19</f>
        <v>17</v>
      </c>
      <c r="AV21" s="19">
        <f>AV12+AV19</f>
        <v>328</v>
      </c>
      <c r="AW21" s="15">
        <f>AW12+AW19</f>
        <v>-733</v>
      </c>
      <c r="AX21" s="12"/>
      <c r="AY21" s="19">
        <f>AY12+AY19</f>
        <v>-185</v>
      </c>
      <c r="AZ21" s="19">
        <f>AZ12+AZ19</f>
        <v>-307</v>
      </c>
      <c r="BA21" s="19">
        <f>BA12+BA19</f>
        <v>-30</v>
      </c>
      <c r="BB21" s="76">
        <f>BB12+BB19</f>
        <v>509</v>
      </c>
      <c r="BC21" s="15">
        <f>BC12+BC19</f>
        <v>-13</v>
      </c>
      <c r="BD21" s="12"/>
      <c r="BE21" s="19">
        <f>BE12+BE19</f>
        <v>-37.699999999999989</v>
      </c>
      <c r="BF21" s="19">
        <f>BF12+BF19</f>
        <v>-275</v>
      </c>
      <c r="BG21" s="76">
        <f>BG12+BG19</f>
        <v>-80</v>
      </c>
      <c r="BH21" s="76">
        <f>BH12+BH19</f>
        <v>-53</v>
      </c>
      <c r="BI21" s="15">
        <f>BI12+BI19</f>
        <v>-445.70000000000005</v>
      </c>
      <c r="BK21" s="19">
        <f>BK12+BK19</f>
        <v>-542</v>
      </c>
      <c r="BL21" s="76">
        <f>BL12+BL19</f>
        <v>-400</v>
      </c>
      <c r="BM21" s="76">
        <f>BM12+BM19</f>
        <v>-313</v>
      </c>
      <c r="BN21" s="76">
        <f>BN12+BN19</f>
        <v>32</v>
      </c>
      <c r="BO21" s="15">
        <f>BO12+BO19</f>
        <v>-1223</v>
      </c>
      <c r="BQ21" s="19">
        <f>BQ12+BQ19</f>
        <v>-685</v>
      </c>
      <c r="BR21" s="76">
        <f>BR12+BR19</f>
        <v>-116</v>
      </c>
      <c r="BS21" s="76">
        <f>BS12+BS19</f>
        <v>204</v>
      </c>
      <c r="BT21" s="76">
        <f>BT12+BT19</f>
        <v>348</v>
      </c>
      <c r="BU21" s="15">
        <f>BU12+BU19</f>
        <v>-249</v>
      </c>
      <c r="BW21" s="19">
        <f>BW12+BW19</f>
        <v>-107</v>
      </c>
      <c r="BX21" s="76">
        <f>BX12+BX19</f>
        <v>-53</v>
      </c>
      <c r="BY21" s="76">
        <f>BY12+BY19</f>
        <v>0</v>
      </c>
      <c r="BZ21" s="76">
        <f>BZ12+BZ19</f>
        <v>0</v>
      </c>
      <c r="CA21" s="15">
        <f>CA12+CA19</f>
        <v>-160</v>
      </c>
      <c r="CC21" s="14"/>
    </row>
    <row r="22" spans="1:81">
      <c r="C22" s="14"/>
      <c r="D22" s="14"/>
      <c r="E22" s="14"/>
      <c r="F22" s="14"/>
      <c r="G22" s="15"/>
      <c r="H22" s="16"/>
      <c r="I22" s="14"/>
      <c r="J22" s="14"/>
      <c r="K22" s="14"/>
      <c r="L22" s="14"/>
      <c r="M22" s="15"/>
      <c r="O22" s="14"/>
      <c r="P22" s="14"/>
      <c r="Q22" s="14"/>
      <c r="R22" s="14"/>
      <c r="S22" s="15"/>
      <c r="U22" s="14"/>
      <c r="V22" s="14"/>
      <c r="W22" s="14"/>
      <c r="X22" s="14"/>
      <c r="Y22" s="15"/>
      <c r="AA22" s="14"/>
      <c r="AB22" s="14"/>
      <c r="AC22" s="14"/>
      <c r="AD22" s="14"/>
      <c r="AE22" s="15"/>
      <c r="AG22" s="14"/>
      <c r="AH22" s="14"/>
      <c r="AI22" s="14"/>
      <c r="AJ22" s="14"/>
      <c r="AK22" s="15"/>
      <c r="AM22" s="14"/>
      <c r="AN22" s="14"/>
      <c r="AO22" s="14"/>
      <c r="AP22" s="14"/>
      <c r="AQ22" s="15"/>
      <c r="AS22" s="14"/>
      <c r="AT22" s="14"/>
      <c r="AU22" s="14"/>
      <c r="AV22" s="14"/>
      <c r="AW22" s="15"/>
      <c r="AY22" s="14"/>
      <c r="AZ22" s="14"/>
      <c r="BA22" s="14"/>
      <c r="BB22" s="58"/>
      <c r="BC22" s="15"/>
      <c r="BE22" s="14"/>
      <c r="BF22" s="14"/>
      <c r="BG22" s="58"/>
      <c r="BH22" s="58"/>
      <c r="BI22" s="15"/>
      <c r="BK22" s="14"/>
      <c r="BL22" s="58"/>
      <c r="BM22" s="58"/>
      <c r="BN22" s="58"/>
      <c r="BO22" s="15"/>
      <c r="BQ22" s="14"/>
      <c r="BR22" s="58"/>
      <c r="BS22" s="58"/>
      <c r="BT22" s="58"/>
      <c r="BU22" s="15"/>
      <c r="BW22" s="14"/>
      <c r="BX22" s="58"/>
      <c r="BY22" s="58"/>
      <c r="BZ22" s="58"/>
      <c r="CA22" s="15"/>
    </row>
    <row r="23" spans="1:81" ht="12.75" customHeight="1">
      <c r="A23" s="4" t="s">
        <v>35</v>
      </c>
      <c r="C23" s="14">
        <v>0</v>
      </c>
      <c r="D23" s="14">
        <v>-2806</v>
      </c>
      <c r="E23" s="14">
        <v>0</v>
      </c>
      <c r="F23" s="14">
        <v>0</v>
      </c>
      <c r="G23" s="15">
        <f>SUM(C23:F23)</f>
        <v>-2806</v>
      </c>
      <c r="H23" s="16"/>
      <c r="I23" s="14">
        <v>0</v>
      </c>
      <c r="J23" s="14">
        <v>-100</v>
      </c>
      <c r="K23" s="14">
        <v>0</v>
      </c>
      <c r="L23" s="14">
        <v>0</v>
      </c>
      <c r="M23" s="15">
        <f>SUM(I23:L23)</f>
        <v>-100</v>
      </c>
      <c r="O23" s="14">
        <v>0</v>
      </c>
      <c r="P23" s="14">
        <v>-100</v>
      </c>
      <c r="Q23" s="14">
        <v>0</v>
      </c>
      <c r="R23" s="14">
        <v>0</v>
      </c>
      <c r="S23" s="15">
        <f>SUM(O23:R23)</f>
        <v>-100</v>
      </c>
      <c r="U23" s="14">
        <v>0</v>
      </c>
      <c r="V23" s="14">
        <v>-200</v>
      </c>
      <c r="W23" s="14">
        <v>0</v>
      </c>
      <c r="X23" s="14">
        <v>0</v>
      </c>
      <c r="Y23" s="15">
        <f>SUM(U23:X23)</f>
        <v>-200</v>
      </c>
      <c r="AA23" s="14">
        <v>0</v>
      </c>
      <c r="AB23" s="14">
        <v>-200</v>
      </c>
      <c r="AC23" s="14">
        <v>0</v>
      </c>
      <c r="AD23" s="14">
        <v>0</v>
      </c>
      <c r="AE23" s="15">
        <f>SUM(AA23:AD23)</f>
        <v>-200</v>
      </c>
      <c r="AG23" s="14">
        <v>0</v>
      </c>
      <c r="AH23" s="14">
        <v>-196</v>
      </c>
      <c r="AI23" s="14">
        <v>0</v>
      </c>
      <c r="AJ23" s="14">
        <v>0</v>
      </c>
      <c r="AK23" s="15">
        <f>SUM(AG23:AJ23)</f>
        <v>-196</v>
      </c>
      <c r="AM23" s="14"/>
      <c r="AN23" s="14">
        <v>-294</v>
      </c>
      <c r="AO23" s="14">
        <v>0</v>
      </c>
      <c r="AP23" s="14">
        <v>0</v>
      </c>
      <c r="AQ23" s="15">
        <f>SUM(AM23:AP23)</f>
        <v>-294</v>
      </c>
      <c r="AS23" s="48">
        <v>0</v>
      </c>
      <c r="AT23" s="48">
        <v>-236</v>
      </c>
      <c r="AU23" s="48">
        <v>0</v>
      </c>
      <c r="AV23" s="48">
        <v>0</v>
      </c>
      <c r="AW23" s="59">
        <f>SUM(AS23:AV23)</f>
        <v>-236</v>
      </c>
      <c r="AX23" s="25"/>
      <c r="AY23" s="48">
        <v>0</v>
      </c>
      <c r="AZ23" s="48">
        <v>-260</v>
      </c>
      <c r="BA23" s="48">
        <v>0</v>
      </c>
      <c r="BB23" s="55">
        <v>0</v>
      </c>
      <c r="BC23" s="59">
        <f>SUM(AY23:BB23)</f>
        <v>-260</v>
      </c>
      <c r="BE23" s="14">
        <v>0</v>
      </c>
      <c r="BF23" s="84">
        <v>0</v>
      </c>
      <c r="BG23" s="58">
        <v>0</v>
      </c>
      <c r="BH23" s="58">
        <v>0</v>
      </c>
      <c r="BI23" s="15">
        <f>SUM(BE23:BH23)</f>
        <v>0</v>
      </c>
      <c r="BK23" s="14">
        <v>-83</v>
      </c>
      <c r="BL23" s="58"/>
      <c r="BM23" s="58"/>
      <c r="BN23" s="58">
        <v>0</v>
      </c>
      <c r="BO23" s="15">
        <f>SUM(BK23:BN23)</f>
        <v>-83</v>
      </c>
      <c r="BQ23" s="14">
        <v>-47</v>
      </c>
      <c r="BR23" s="58">
        <v>0</v>
      </c>
      <c r="BS23" s="58">
        <v>0</v>
      </c>
      <c r="BT23" s="58">
        <v>0</v>
      </c>
      <c r="BU23" s="15">
        <f>SUM(BQ23:BT23)</f>
        <v>-47</v>
      </c>
      <c r="BW23" s="14">
        <v>0</v>
      </c>
      <c r="BX23" s="58">
        <v>-48</v>
      </c>
      <c r="BY23" s="58"/>
      <c r="BZ23" s="58"/>
      <c r="CA23" s="15">
        <f>SUM(BW23:BZ23)</f>
        <v>-48</v>
      </c>
    </row>
    <row r="24" spans="1:81" ht="12.75" customHeight="1">
      <c r="A24" s="4" t="s">
        <v>178</v>
      </c>
      <c r="C24" s="14"/>
      <c r="D24" s="14"/>
      <c r="E24" s="14"/>
      <c r="F24" s="14"/>
      <c r="G24" s="15"/>
      <c r="H24" s="16"/>
      <c r="I24" s="14"/>
      <c r="J24" s="14"/>
      <c r="K24" s="14"/>
      <c r="L24" s="14"/>
      <c r="M24" s="15"/>
      <c r="O24" s="14"/>
      <c r="P24" s="14"/>
      <c r="Q24" s="14"/>
      <c r="R24" s="14"/>
      <c r="S24" s="15"/>
      <c r="U24" s="14"/>
      <c r="V24" s="14"/>
      <c r="W24" s="14"/>
      <c r="X24" s="14"/>
      <c r="Y24" s="15"/>
      <c r="AA24" s="14"/>
      <c r="AB24" s="14"/>
      <c r="AC24" s="14"/>
      <c r="AD24" s="14"/>
      <c r="AE24" s="15"/>
      <c r="AG24" s="14"/>
      <c r="AH24" s="14"/>
      <c r="AI24" s="14"/>
      <c r="AJ24" s="14"/>
      <c r="AK24" s="15"/>
      <c r="AM24" s="14"/>
      <c r="AN24" s="14"/>
      <c r="AO24" s="14"/>
      <c r="AP24" s="14"/>
      <c r="AQ24" s="15"/>
      <c r="AS24" s="48"/>
      <c r="AT24" s="48"/>
      <c r="AU24" s="48"/>
      <c r="AV24" s="48"/>
      <c r="AW24" s="59"/>
      <c r="AX24" s="25"/>
      <c r="AY24" s="48"/>
      <c r="AZ24" s="48"/>
      <c r="BA24" s="48"/>
      <c r="BB24" s="55"/>
      <c r="BC24" s="59"/>
      <c r="BE24" s="14"/>
      <c r="BF24" s="84"/>
      <c r="BG24" s="58"/>
      <c r="BH24" s="58"/>
      <c r="BI24" s="15"/>
      <c r="BK24" s="14">
        <v>-4</v>
      </c>
      <c r="BL24" s="58"/>
      <c r="BM24" s="58">
        <v>-20</v>
      </c>
      <c r="BN24" s="58">
        <v>0</v>
      </c>
      <c r="BO24" s="15">
        <f>SUM(BK24:BN24)</f>
        <v>-24</v>
      </c>
      <c r="BQ24" s="14">
        <v>0</v>
      </c>
      <c r="BR24" s="58">
        <v>0</v>
      </c>
      <c r="BS24" s="58">
        <v>0</v>
      </c>
      <c r="BT24" s="58">
        <v>-1</v>
      </c>
      <c r="BU24" s="15">
        <f>SUM(BQ24:BT24)</f>
        <v>-1</v>
      </c>
      <c r="BW24" s="14">
        <v>-1</v>
      </c>
      <c r="BX24" s="58">
        <v>-1</v>
      </c>
      <c r="BY24" s="58"/>
      <c r="BZ24" s="58"/>
      <c r="CA24" s="15">
        <f>SUM(BW24:BZ24)</f>
        <v>-2</v>
      </c>
    </row>
    <row r="25" spans="1:81" s="12" customFormat="1" ht="12.75" customHeight="1">
      <c r="A25" s="4" t="s">
        <v>37</v>
      </c>
      <c r="B25" s="10"/>
      <c r="C25" s="20">
        <v>-368</v>
      </c>
      <c r="D25" s="20">
        <v>250</v>
      </c>
      <c r="E25" s="20">
        <v>0</v>
      </c>
      <c r="F25" s="20">
        <v>-5</v>
      </c>
      <c r="G25" s="21">
        <f>SUM(C25:F25)</f>
        <v>-123</v>
      </c>
      <c r="H25" s="16"/>
      <c r="I25" s="20">
        <v>-24</v>
      </c>
      <c r="J25" s="20">
        <v>0</v>
      </c>
      <c r="K25" s="20">
        <v>0</v>
      </c>
      <c r="L25" s="20">
        <v>0</v>
      </c>
      <c r="M25" s="21">
        <f>SUM(I25:L25)</f>
        <v>-24</v>
      </c>
      <c r="N25" s="4"/>
      <c r="O25" s="20">
        <v>-20</v>
      </c>
      <c r="P25" s="20">
        <v>2</v>
      </c>
      <c r="Q25" s="20">
        <v>0</v>
      </c>
      <c r="R25" s="20">
        <v>0</v>
      </c>
      <c r="S25" s="21">
        <f>SUM(O25:R25)</f>
        <v>-18</v>
      </c>
      <c r="T25" s="4"/>
      <c r="U25" s="20">
        <v>0</v>
      </c>
      <c r="V25" s="20">
        <v>4</v>
      </c>
      <c r="W25" s="20">
        <v>0</v>
      </c>
      <c r="X25" s="20">
        <v>0</v>
      </c>
      <c r="Y25" s="21">
        <f>SUM(U25:X25)</f>
        <v>4</v>
      </c>
      <c r="Z25" s="4"/>
      <c r="AA25" s="20">
        <v>0</v>
      </c>
      <c r="AB25" s="20">
        <v>4</v>
      </c>
      <c r="AC25" s="20">
        <v>0</v>
      </c>
      <c r="AD25" s="20">
        <v>0</v>
      </c>
      <c r="AE25" s="21">
        <f>SUM(AA25:AD25)</f>
        <v>4</v>
      </c>
      <c r="AF25" s="4"/>
      <c r="AG25" s="20">
        <v>-12</v>
      </c>
      <c r="AH25" s="20">
        <v>0</v>
      </c>
      <c r="AI25" s="20">
        <v>-276</v>
      </c>
      <c r="AJ25" s="20">
        <v>-14</v>
      </c>
      <c r="AK25" s="21">
        <f>SUM(AG25:AJ25)</f>
        <v>-302</v>
      </c>
      <c r="AL25" s="4"/>
      <c r="AM25" s="20">
        <v>-64</v>
      </c>
      <c r="AN25" s="20">
        <v>14</v>
      </c>
      <c r="AO25" s="20">
        <v>0</v>
      </c>
      <c r="AP25" s="20">
        <v>0</v>
      </c>
      <c r="AQ25" s="21">
        <f>SUM(AM25:AP25)</f>
        <v>-50</v>
      </c>
      <c r="AR25" s="4"/>
      <c r="AS25" s="20">
        <v>7</v>
      </c>
      <c r="AT25" s="20">
        <v>9</v>
      </c>
      <c r="AU25" s="20">
        <v>-1</v>
      </c>
      <c r="AV25" s="20">
        <v>0</v>
      </c>
      <c r="AW25" s="21">
        <f>SUM(AS25:AV25)</f>
        <v>15</v>
      </c>
      <c r="AX25" s="4"/>
      <c r="AY25" s="20">
        <v>3</v>
      </c>
      <c r="AZ25" s="20">
        <v>10</v>
      </c>
      <c r="BA25" s="20">
        <v>0</v>
      </c>
      <c r="BB25" s="74">
        <v>0</v>
      </c>
      <c r="BC25" s="21">
        <f>SUM(AY25:BB25)</f>
        <v>13</v>
      </c>
      <c r="BD25" s="4"/>
      <c r="BE25" s="20">
        <v>0</v>
      </c>
      <c r="BF25" s="20">
        <v>0</v>
      </c>
      <c r="BG25" s="20">
        <v>0</v>
      </c>
      <c r="BH25" s="74">
        <v>0</v>
      </c>
      <c r="BI25" s="21">
        <f>SUM(BE25:BH25)</f>
        <v>0</v>
      </c>
      <c r="BK25" s="20">
        <v>1</v>
      </c>
      <c r="BL25" s="74">
        <v>3</v>
      </c>
      <c r="BM25" s="20"/>
      <c r="BN25" s="74">
        <v>0</v>
      </c>
      <c r="BO25" s="21">
        <f>SUM(BK25:BN25)</f>
        <v>4</v>
      </c>
      <c r="BQ25" s="20">
        <v>0</v>
      </c>
      <c r="BR25" s="74">
        <v>0</v>
      </c>
      <c r="BS25" s="20">
        <v>0</v>
      </c>
      <c r="BT25" s="74">
        <v>0</v>
      </c>
      <c r="BU25" s="21">
        <f>SUM(BQ25:BT25)</f>
        <v>0</v>
      </c>
      <c r="BW25" s="20">
        <v>22</v>
      </c>
      <c r="BX25" s="74">
        <v>0</v>
      </c>
      <c r="BY25" s="20"/>
      <c r="BZ25" s="74"/>
      <c r="CA25" s="21">
        <f>SUM(BW25:BZ25)</f>
        <v>22</v>
      </c>
    </row>
    <row r="26" spans="1:81">
      <c r="A26" s="12" t="s">
        <v>38</v>
      </c>
      <c r="B26" s="6"/>
      <c r="C26" s="19">
        <f>SUM(C21:C25)</f>
        <v>-469</v>
      </c>
      <c r="D26" s="19">
        <f>SUM(D21:D25)</f>
        <v>-2450</v>
      </c>
      <c r="E26" s="19">
        <f>SUM(E21:E25)</f>
        <v>-11</v>
      </c>
      <c r="F26" s="19">
        <f>SUM(F21:F25)</f>
        <v>277</v>
      </c>
      <c r="G26" s="15">
        <f>SUM(G21:G25)</f>
        <v>-2653</v>
      </c>
      <c r="H26" s="16"/>
      <c r="I26" s="19">
        <f>SUM(I21:I25)</f>
        <v>-61</v>
      </c>
      <c r="J26" s="19">
        <f>SUM(J21:J25)</f>
        <v>-102</v>
      </c>
      <c r="K26" s="19">
        <f>SUM(K21:K25)</f>
        <v>146</v>
      </c>
      <c r="L26" s="19">
        <f>SUM(L21:L25)</f>
        <v>284</v>
      </c>
      <c r="M26" s="15">
        <f>SUM(M21:M25)</f>
        <v>267</v>
      </c>
      <c r="N26" s="12"/>
      <c r="O26" s="19">
        <f>SUM(O21:O25)</f>
        <v>-103</v>
      </c>
      <c r="P26" s="19">
        <f>SUM(P21:P25)</f>
        <v>-170</v>
      </c>
      <c r="Q26" s="19">
        <f>SUM(Q21:Q25)</f>
        <v>70</v>
      </c>
      <c r="R26" s="19">
        <f>SUM(R21:R25)</f>
        <v>170</v>
      </c>
      <c r="S26" s="15">
        <f>SUM(S21:S25)</f>
        <v>-33</v>
      </c>
      <c r="T26" s="12"/>
      <c r="U26" s="19">
        <f>SUM(U21:U25)</f>
        <v>-188</v>
      </c>
      <c r="V26" s="19">
        <f>SUM(V21:V25)</f>
        <v>-1141</v>
      </c>
      <c r="W26" s="19">
        <f>SUM(W21:W25)</f>
        <v>301</v>
      </c>
      <c r="X26" s="19">
        <f>SUM(X21:X25)</f>
        <v>278</v>
      </c>
      <c r="Y26" s="15">
        <f>SUM(Y21:Y25)</f>
        <v>-750</v>
      </c>
      <c r="Z26" s="12"/>
      <c r="AA26" s="19">
        <f>SUM(AA21:AA25)</f>
        <v>-240</v>
      </c>
      <c r="AB26" s="19">
        <f>SUM(AB21:AB25)</f>
        <v>-1117</v>
      </c>
      <c r="AC26" s="19">
        <f>SUM(AC21:AC25)</f>
        <v>320</v>
      </c>
      <c r="AD26" s="19">
        <f>SUM(AD21:AD25)</f>
        <v>291</v>
      </c>
      <c r="AE26" s="15">
        <f>SUM(AE21:AE25)</f>
        <v>-746</v>
      </c>
      <c r="AF26" s="12"/>
      <c r="AG26" s="19">
        <f>SUM(AG21:AG25)</f>
        <v>-176</v>
      </c>
      <c r="AH26" s="19">
        <f>SUM(AH21:AH25)</f>
        <v>-203</v>
      </c>
      <c r="AI26" s="19">
        <f>SUM(AI21:AI25)</f>
        <v>-291</v>
      </c>
      <c r="AJ26" s="19">
        <f>SUM(AJ21:AJ25)</f>
        <v>96</v>
      </c>
      <c r="AK26" s="15">
        <f>SUM(AK21:AK25)</f>
        <v>-574</v>
      </c>
      <c r="AL26" s="12"/>
      <c r="AM26" s="19">
        <f>SUM(AM21:AM25)</f>
        <v>-395</v>
      </c>
      <c r="AN26" s="19">
        <f>SUM(AN21:AN25)</f>
        <v>-46</v>
      </c>
      <c r="AO26" s="19">
        <f>SUM(AO21:AO25)</f>
        <v>56</v>
      </c>
      <c r="AP26" s="19">
        <f>SUM(AP21:AP25)</f>
        <v>111</v>
      </c>
      <c r="AQ26" s="15">
        <f>SUM(AQ21:AQ25)</f>
        <v>-274</v>
      </c>
      <c r="AR26" s="12"/>
      <c r="AS26" s="19">
        <f>SUM(AS21:AS25)</f>
        <v>-972</v>
      </c>
      <c r="AT26" s="19">
        <f>SUM(AT21:AT25)</f>
        <v>-326</v>
      </c>
      <c r="AU26" s="19">
        <f>SUM(AU21:AU25)</f>
        <v>16</v>
      </c>
      <c r="AV26" s="19">
        <f>SUM(AV21:AV25)</f>
        <v>328</v>
      </c>
      <c r="AW26" s="15">
        <f>SUM(AW21:AW25)</f>
        <v>-954</v>
      </c>
      <c r="AX26" s="12"/>
      <c r="AY26" s="19">
        <f>SUM(AY21:AY25)</f>
        <v>-182</v>
      </c>
      <c r="AZ26" s="19">
        <f>SUM(AZ21:AZ25)</f>
        <v>-557</v>
      </c>
      <c r="BA26" s="19">
        <f>SUM(BA21:BA25)</f>
        <v>-30</v>
      </c>
      <c r="BB26" s="76">
        <f>SUM(BB21:BB25)</f>
        <v>509</v>
      </c>
      <c r="BC26" s="15">
        <f>SUM(BC21:BC25)</f>
        <v>-260</v>
      </c>
      <c r="BD26" s="12"/>
      <c r="BE26" s="94">
        <f>SUM(BE21:BE25)</f>
        <v>-37.699999999999989</v>
      </c>
      <c r="BF26" s="94">
        <f>SUM(BF21:BF25)</f>
        <v>-275</v>
      </c>
      <c r="BG26" s="96">
        <f>SUM(BG21:BG25)</f>
        <v>-80</v>
      </c>
      <c r="BH26" s="96">
        <f>SUM(BH21:BH25)</f>
        <v>-53</v>
      </c>
      <c r="BI26" s="95">
        <f>SUM(BI21:BI25)</f>
        <v>-445.70000000000005</v>
      </c>
      <c r="BK26" s="94">
        <f>SUM(BK21:BK25)</f>
        <v>-628</v>
      </c>
      <c r="BL26" s="96">
        <f>SUM(BL21:BL25)</f>
        <v>-397</v>
      </c>
      <c r="BM26" s="96">
        <f>SUM(BM21:BM25)</f>
        <v>-333</v>
      </c>
      <c r="BN26" s="96">
        <f>SUM(BN21:BN25)</f>
        <v>32</v>
      </c>
      <c r="BO26" s="95">
        <f>SUM(BO21:BO25)</f>
        <v>-1326</v>
      </c>
      <c r="BQ26" s="94">
        <f>SUM(BQ21:BQ25)</f>
        <v>-732</v>
      </c>
      <c r="BR26" s="96">
        <f>SUM(BR21:BR25)</f>
        <v>-116</v>
      </c>
      <c r="BS26" s="96">
        <f>SUM(BS21:BS25)</f>
        <v>204</v>
      </c>
      <c r="BT26" s="96">
        <f>SUM(BT21:BT25)</f>
        <v>347</v>
      </c>
      <c r="BU26" s="95">
        <f>SUM(BU21:BU25)</f>
        <v>-297</v>
      </c>
      <c r="BW26" s="94">
        <f>SUM(BW21:BW25)</f>
        <v>-86</v>
      </c>
      <c r="BX26" s="96">
        <f>SUM(BX21:BX25)</f>
        <v>-102</v>
      </c>
      <c r="BY26" s="96">
        <f>SUM(BY21:BY25)</f>
        <v>0</v>
      </c>
      <c r="BZ26" s="96">
        <f>SUM(BZ21:BZ25)</f>
        <v>0</v>
      </c>
      <c r="CA26" s="95">
        <f>SUM(CA21:CA25)</f>
        <v>-188</v>
      </c>
    </row>
    <row r="27" spans="1:81">
      <c r="C27" s="14"/>
      <c r="D27" s="14"/>
      <c r="E27" s="14"/>
      <c r="F27" s="14"/>
      <c r="G27" s="15"/>
      <c r="H27" s="16"/>
      <c r="I27" s="14"/>
      <c r="J27" s="14"/>
      <c r="K27" s="14"/>
      <c r="L27" s="14"/>
      <c r="M27" s="15"/>
      <c r="O27" s="14"/>
      <c r="P27" s="14"/>
      <c r="Q27" s="14"/>
      <c r="R27" s="14"/>
      <c r="S27" s="15"/>
      <c r="U27" s="14"/>
      <c r="V27" s="14"/>
      <c r="W27" s="14"/>
      <c r="X27" s="14"/>
      <c r="Y27" s="15"/>
      <c r="AA27" s="14"/>
      <c r="AB27" s="14"/>
      <c r="AC27" s="14"/>
      <c r="AD27" s="14"/>
      <c r="AE27" s="15"/>
      <c r="AG27" s="14"/>
      <c r="AH27" s="14"/>
      <c r="AI27" s="14"/>
      <c r="AJ27" s="14"/>
      <c r="AK27" s="15"/>
      <c r="AM27" s="14"/>
      <c r="AN27" s="14"/>
      <c r="AO27" s="14"/>
      <c r="AP27" s="14"/>
      <c r="AQ27" s="15"/>
      <c r="AS27" s="14"/>
      <c r="AT27" s="14"/>
      <c r="AU27" s="14"/>
      <c r="AV27" s="14"/>
      <c r="AW27" s="15"/>
      <c r="AY27" s="14"/>
      <c r="AZ27" s="14"/>
      <c r="BA27" s="14"/>
      <c r="BB27" s="58"/>
      <c r="BC27" s="15"/>
      <c r="BE27" s="14"/>
      <c r="BF27" s="14"/>
      <c r="BG27" s="58"/>
      <c r="BH27" s="58"/>
      <c r="BI27" s="15"/>
      <c r="BK27" s="14"/>
      <c r="BL27" s="58"/>
      <c r="BM27" s="58"/>
      <c r="BN27" s="58"/>
      <c r="BO27" s="15"/>
      <c r="BQ27" s="14"/>
      <c r="BR27" s="58"/>
      <c r="BS27" s="58"/>
      <c r="BT27" s="58"/>
      <c r="BU27" s="15"/>
      <c r="BW27" s="14"/>
      <c r="BX27" s="58"/>
      <c r="BY27" s="58"/>
      <c r="BZ27" s="58"/>
      <c r="CA27" s="15"/>
    </row>
    <row r="28" spans="1:81">
      <c r="A28" s="4" t="s">
        <v>201</v>
      </c>
      <c r="C28" s="14"/>
      <c r="D28" s="14"/>
      <c r="E28" s="14"/>
      <c r="F28" s="14"/>
      <c r="G28" s="15"/>
      <c r="H28" s="16"/>
      <c r="I28" s="14"/>
      <c r="J28" s="14"/>
      <c r="K28" s="14"/>
      <c r="L28" s="14"/>
      <c r="M28" s="15"/>
      <c r="O28" s="14"/>
      <c r="P28" s="14"/>
      <c r="Q28" s="14"/>
      <c r="R28" s="14"/>
      <c r="S28" s="15"/>
      <c r="U28" s="14"/>
      <c r="V28" s="14"/>
      <c r="W28" s="14"/>
      <c r="X28" s="14"/>
      <c r="Y28" s="15"/>
      <c r="AA28" s="14"/>
      <c r="AB28" s="14"/>
      <c r="AC28" s="14"/>
      <c r="AD28" s="14"/>
      <c r="AE28" s="15"/>
      <c r="AG28" s="14"/>
      <c r="AH28" s="14"/>
      <c r="AI28" s="14"/>
      <c r="AJ28" s="14"/>
      <c r="AK28" s="15"/>
      <c r="AM28" s="14"/>
      <c r="AN28" s="14"/>
      <c r="AO28" s="14"/>
      <c r="AP28" s="14"/>
      <c r="AQ28" s="15"/>
      <c r="AS28" s="14"/>
      <c r="AT28" s="14"/>
      <c r="AU28" s="14"/>
      <c r="AV28" s="14"/>
      <c r="AW28" s="15"/>
      <c r="AY28" s="14"/>
      <c r="AZ28" s="14"/>
      <c r="BA28" s="14"/>
      <c r="BB28" s="58"/>
      <c r="BC28" s="15"/>
      <c r="BE28" s="14"/>
      <c r="BF28" s="14"/>
      <c r="BG28" s="58"/>
      <c r="BH28" s="58"/>
      <c r="BI28" s="15"/>
      <c r="BK28" s="14"/>
      <c r="BL28" s="58"/>
      <c r="BM28" s="58"/>
      <c r="BN28" s="58"/>
      <c r="BO28" s="15"/>
      <c r="BQ28" s="14"/>
      <c r="BR28" s="58"/>
      <c r="BS28" s="58"/>
      <c r="BT28" s="58"/>
      <c r="BU28" s="15"/>
      <c r="BW28" s="14">
        <v>0</v>
      </c>
      <c r="BX28" s="58">
        <v>1975</v>
      </c>
      <c r="BY28" s="58"/>
      <c r="BZ28" s="58"/>
      <c r="CA28" s="15">
        <f>SUM(BW28:BZ28)</f>
        <v>1975</v>
      </c>
    </row>
    <row r="29" spans="1:81">
      <c r="C29" s="14"/>
      <c r="D29" s="14"/>
      <c r="E29" s="14"/>
      <c r="F29" s="14"/>
      <c r="G29" s="15"/>
      <c r="H29" s="16"/>
      <c r="I29" s="14"/>
      <c r="J29" s="14"/>
      <c r="K29" s="14"/>
      <c r="L29" s="14"/>
      <c r="M29" s="15"/>
      <c r="O29" s="14"/>
      <c r="P29" s="14"/>
      <c r="Q29" s="14"/>
      <c r="R29" s="14"/>
      <c r="S29" s="15"/>
      <c r="U29" s="14"/>
      <c r="V29" s="14"/>
      <c r="W29" s="14"/>
      <c r="X29" s="14"/>
      <c r="Y29" s="15"/>
      <c r="AA29" s="14"/>
      <c r="AB29" s="14"/>
      <c r="AC29" s="14"/>
      <c r="AD29" s="14"/>
      <c r="AE29" s="15"/>
      <c r="AG29" s="14"/>
      <c r="AH29" s="14"/>
      <c r="AI29" s="14"/>
      <c r="AJ29" s="14"/>
      <c r="AK29" s="15"/>
      <c r="AM29" s="14"/>
      <c r="AN29" s="14"/>
      <c r="AO29" s="14"/>
      <c r="AP29" s="14"/>
      <c r="AQ29" s="15"/>
      <c r="AS29" s="14"/>
      <c r="AT29" s="14"/>
      <c r="AU29" s="14"/>
      <c r="AV29" s="14"/>
      <c r="AW29" s="15"/>
      <c r="AY29" s="14"/>
      <c r="AZ29" s="14"/>
      <c r="BA29" s="14"/>
      <c r="BB29" s="58"/>
      <c r="BC29" s="15"/>
      <c r="BE29" s="14"/>
      <c r="BF29" s="14"/>
      <c r="BG29" s="58"/>
      <c r="BH29" s="58"/>
      <c r="BI29" s="15"/>
      <c r="BK29" s="14"/>
      <c r="BL29" s="58"/>
      <c r="BM29" s="58"/>
      <c r="BN29" s="58"/>
      <c r="BO29" s="15"/>
      <c r="BQ29" s="14"/>
      <c r="BR29" s="58"/>
      <c r="BS29" s="58"/>
      <c r="BT29" s="58"/>
      <c r="BU29" s="15"/>
      <c r="BW29" s="14"/>
      <c r="BX29" s="58"/>
      <c r="BY29" s="58"/>
      <c r="BZ29" s="58"/>
      <c r="CA29" s="15"/>
    </row>
    <row r="30" spans="1:81">
      <c r="A30" s="4" t="s">
        <v>200</v>
      </c>
      <c r="C30" s="14">
        <v>2758</v>
      </c>
      <c r="D30" s="14">
        <f>C33</f>
        <v>2277</v>
      </c>
      <c r="E30" s="14">
        <f>D33</f>
        <v>-221</v>
      </c>
      <c r="F30" s="14">
        <f>E33</f>
        <v>-162</v>
      </c>
      <c r="G30" s="15">
        <f>C30</f>
        <v>2758</v>
      </c>
      <c r="H30" s="16"/>
      <c r="I30" s="14">
        <f>F33</f>
        <v>71</v>
      </c>
      <c r="J30" s="14">
        <f>I33</f>
        <v>7</v>
      </c>
      <c r="K30" s="14">
        <f>J33</f>
        <v>-30</v>
      </c>
      <c r="L30" s="14">
        <f>K33</f>
        <v>109</v>
      </c>
      <c r="M30" s="15">
        <f>I30</f>
        <v>71</v>
      </c>
      <c r="O30" s="14">
        <f>L33</f>
        <v>407</v>
      </c>
      <c r="P30" s="14">
        <f>O33</f>
        <v>321</v>
      </c>
      <c r="Q30" s="14">
        <f>P33</f>
        <v>157</v>
      </c>
      <c r="R30" s="14">
        <f>Q33</f>
        <v>236</v>
      </c>
      <c r="S30" s="15">
        <f>O30</f>
        <v>407</v>
      </c>
      <c r="U30" s="14">
        <v>409</v>
      </c>
      <c r="V30" s="14">
        <f>U33</f>
        <v>217</v>
      </c>
      <c r="W30" s="14">
        <f>V33</f>
        <v>-932</v>
      </c>
      <c r="X30" s="14">
        <f>W33</f>
        <v>-638</v>
      </c>
      <c r="Y30" s="15">
        <f>U30</f>
        <v>409</v>
      </c>
      <c r="AA30" s="14">
        <f>S33</f>
        <v>409</v>
      </c>
      <c r="AB30" s="14">
        <f>AA33</f>
        <v>347</v>
      </c>
      <c r="AC30" s="14">
        <f>AB33</f>
        <v>-778</v>
      </c>
      <c r="AD30" s="14">
        <f>AC33</f>
        <v>-465</v>
      </c>
      <c r="AE30" s="15">
        <f>AA30</f>
        <v>409</v>
      </c>
      <c r="AG30" s="14">
        <f>AD33</f>
        <v>-145</v>
      </c>
      <c r="AH30" s="14">
        <f>AG33</f>
        <v>-337</v>
      </c>
      <c r="AI30" s="14">
        <f>AH33</f>
        <v>-559</v>
      </c>
      <c r="AJ30" s="14">
        <f>AI33</f>
        <v>-858</v>
      </c>
      <c r="AK30" s="15">
        <f>AG30</f>
        <v>-145</v>
      </c>
      <c r="AM30" s="14">
        <f>AJ33</f>
        <v>-764</v>
      </c>
      <c r="AN30" s="14">
        <f>AM33</f>
        <v>-1176</v>
      </c>
      <c r="AO30" s="14">
        <f>AN33</f>
        <v>-1221</v>
      </c>
      <c r="AP30" s="14">
        <f>AO33</f>
        <v>-1168</v>
      </c>
      <c r="AQ30" s="15">
        <f>AM30</f>
        <v>-764</v>
      </c>
      <c r="AS30" s="14">
        <f>AP33</f>
        <v>-1023</v>
      </c>
      <c r="AT30" s="14">
        <f>+AS33</f>
        <v>-1987</v>
      </c>
      <c r="AU30" s="14">
        <f>+AT33</f>
        <v>-2319</v>
      </c>
      <c r="AV30" s="14">
        <f>+AU33</f>
        <v>-2306</v>
      </c>
      <c r="AW30" s="15">
        <f>AS30</f>
        <v>-1023</v>
      </c>
      <c r="AY30" s="14">
        <f>+AW33</f>
        <v>-1995</v>
      </c>
      <c r="AZ30" s="14">
        <f>+AY33</f>
        <v>-2215</v>
      </c>
      <c r="BA30" s="14">
        <f>+AZ33</f>
        <v>-2825</v>
      </c>
      <c r="BB30" s="58">
        <f>+BA33</f>
        <v>-2821</v>
      </c>
      <c r="BC30" s="15">
        <f>AY30</f>
        <v>-1995</v>
      </c>
      <c r="BE30" s="14">
        <f>+BC33</f>
        <v>-2260</v>
      </c>
      <c r="BF30" s="14">
        <f>+BE33</f>
        <v>-2282.6999999999998</v>
      </c>
      <c r="BG30" s="58">
        <f>BF33</f>
        <v>-2586.6999999999998</v>
      </c>
      <c r="BH30" s="58">
        <f>BG33</f>
        <v>-2680.7</v>
      </c>
      <c r="BI30" s="15">
        <f>BE30</f>
        <v>-2260</v>
      </c>
      <c r="BK30" s="14">
        <f>+BI33</f>
        <v>-2724.7</v>
      </c>
      <c r="BL30" s="58">
        <f>+BK33</f>
        <v>-3393.7</v>
      </c>
      <c r="BM30" s="58">
        <f>+BL33</f>
        <v>-3789.7</v>
      </c>
      <c r="BN30" s="58">
        <f>+BM33</f>
        <v>-4143.7</v>
      </c>
      <c r="BO30" s="15">
        <f>BK30</f>
        <v>-2724.7</v>
      </c>
      <c r="BQ30" s="14">
        <f>+BN33</f>
        <v>-4104.7</v>
      </c>
      <c r="BR30" s="58">
        <f>+BQ33</f>
        <v>-4820.7</v>
      </c>
      <c r="BS30" s="58">
        <f>+BR33</f>
        <v>-4939.7</v>
      </c>
      <c r="BT30" s="58">
        <f>+BS33</f>
        <v>-4770.7</v>
      </c>
      <c r="BU30" s="15">
        <f>BQ30</f>
        <v>-4104.7</v>
      </c>
      <c r="BW30" s="14">
        <f>+BT33</f>
        <v>-4428.7</v>
      </c>
      <c r="BX30" s="58">
        <f>+BW33</f>
        <v>-4490.7</v>
      </c>
      <c r="BY30" s="58"/>
      <c r="BZ30" s="58"/>
      <c r="CA30" s="15">
        <f>BW30</f>
        <v>-4428.7</v>
      </c>
    </row>
    <row r="31" spans="1:81">
      <c r="A31" s="4" t="s">
        <v>73</v>
      </c>
      <c r="C31" s="14"/>
      <c r="D31" s="14"/>
      <c r="E31" s="14"/>
      <c r="F31" s="14"/>
      <c r="G31" s="15"/>
      <c r="H31" s="16"/>
      <c r="I31" s="14"/>
      <c r="J31" s="14"/>
      <c r="K31" s="14"/>
      <c r="L31" s="14"/>
      <c r="M31" s="15"/>
      <c r="O31" s="14"/>
      <c r="P31" s="14"/>
      <c r="Q31" s="14"/>
      <c r="R31" s="14"/>
      <c r="S31" s="15"/>
      <c r="U31" s="14"/>
      <c r="V31" s="14"/>
      <c r="W31" s="14"/>
      <c r="X31" s="14"/>
      <c r="Y31" s="15"/>
      <c r="AA31" s="14">
        <v>182</v>
      </c>
      <c r="AB31" s="14"/>
      <c r="AC31" s="14"/>
      <c r="AD31" s="14"/>
      <c r="AE31" s="15">
        <f>SUM(AA31:AD31)</f>
        <v>182</v>
      </c>
      <c r="AG31" s="14"/>
      <c r="AH31" s="14"/>
      <c r="AI31" s="14"/>
      <c r="AJ31" s="14"/>
      <c r="AK31" s="15"/>
      <c r="AM31" s="14"/>
      <c r="AN31" s="14"/>
      <c r="AO31" s="14"/>
      <c r="AP31" s="14"/>
      <c r="AQ31" s="15"/>
      <c r="AS31" s="14"/>
      <c r="AT31" s="14"/>
      <c r="AU31" s="14"/>
      <c r="AV31" s="14"/>
      <c r="AW31" s="15"/>
      <c r="AY31" s="14"/>
      <c r="AZ31" s="14"/>
      <c r="BA31" s="14"/>
      <c r="BB31" s="58"/>
      <c r="BC31" s="15"/>
      <c r="BE31" s="14"/>
      <c r="BF31" s="14"/>
      <c r="BG31" s="58"/>
      <c r="BH31" s="58"/>
      <c r="BI31" s="15"/>
      <c r="BK31" s="14"/>
      <c r="BL31" s="58"/>
      <c r="BM31" s="58"/>
      <c r="BN31" s="58"/>
      <c r="BO31" s="15"/>
      <c r="BQ31" s="14"/>
      <c r="BR31" s="58"/>
      <c r="BS31" s="58"/>
      <c r="BT31" s="58"/>
      <c r="BU31" s="15"/>
      <c r="BW31" s="14"/>
      <c r="BX31" s="58"/>
      <c r="BY31" s="58"/>
      <c r="BZ31" s="58"/>
      <c r="CA31" s="15"/>
    </row>
    <row r="32" spans="1:81" s="12" customFormat="1" ht="18.75" customHeight="1">
      <c r="A32" s="4" t="s">
        <v>74</v>
      </c>
      <c r="B32" s="10"/>
      <c r="C32" s="14">
        <v>-12</v>
      </c>
      <c r="D32" s="14">
        <v>-48</v>
      </c>
      <c r="E32" s="14">
        <v>70</v>
      </c>
      <c r="F32" s="14">
        <v>-44</v>
      </c>
      <c r="G32" s="15">
        <f>SUM(C32:F32)</f>
        <v>-34</v>
      </c>
      <c r="H32" s="16"/>
      <c r="I32" s="14">
        <v>-3</v>
      </c>
      <c r="J32" s="14">
        <v>65</v>
      </c>
      <c r="K32" s="14">
        <v>-7</v>
      </c>
      <c r="L32" s="14">
        <v>14</v>
      </c>
      <c r="M32" s="15">
        <f>SUM(I32:L32)</f>
        <v>69</v>
      </c>
      <c r="N32" s="4"/>
      <c r="O32" s="14">
        <v>17</v>
      </c>
      <c r="P32" s="14">
        <v>6</v>
      </c>
      <c r="Q32" s="14">
        <v>9</v>
      </c>
      <c r="R32" s="14">
        <v>3</v>
      </c>
      <c r="S32" s="15">
        <f>SUM(O32:R32)</f>
        <v>35</v>
      </c>
      <c r="T32" s="4"/>
      <c r="U32" s="14">
        <v>-4</v>
      </c>
      <c r="V32" s="14">
        <v>-8</v>
      </c>
      <c r="W32" s="14">
        <v>-7</v>
      </c>
      <c r="X32" s="14">
        <v>27</v>
      </c>
      <c r="Y32" s="15">
        <f>SUM(U32:X32)</f>
        <v>8</v>
      </c>
      <c r="Z32" s="4"/>
      <c r="AA32" s="14">
        <v>-4</v>
      </c>
      <c r="AB32" s="14">
        <v>-8</v>
      </c>
      <c r="AC32" s="14">
        <v>-7</v>
      </c>
      <c r="AD32" s="14">
        <v>29</v>
      </c>
      <c r="AE32" s="15">
        <f>SUM(AA32:AD32)</f>
        <v>10</v>
      </c>
      <c r="AF32" s="4"/>
      <c r="AG32" s="14">
        <v>-16</v>
      </c>
      <c r="AH32" s="14">
        <v>-19</v>
      </c>
      <c r="AI32" s="14">
        <v>-8</v>
      </c>
      <c r="AJ32" s="14">
        <v>-2</v>
      </c>
      <c r="AK32" s="15">
        <f>SUM(AG32:AJ32)</f>
        <v>-45</v>
      </c>
      <c r="AL32" s="4"/>
      <c r="AM32" s="14">
        <v>-17</v>
      </c>
      <c r="AN32" s="14">
        <v>1</v>
      </c>
      <c r="AO32" s="14">
        <v>-3</v>
      </c>
      <c r="AP32" s="14">
        <v>34</v>
      </c>
      <c r="AQ32" s="15">
        <f>SUM(AM32:AP32)</f>
        <v>15</v>
      </c>
      <c r="AR32" s="4"/>
      <c r="AS32" s="14">
        <v>8</v>
      </c>
      <c r="AT32" s="14">
        <v>-6</v>
      </c>
      <c r="AU32" s="14">
        <v>-3</v>
      </c>
      <c r="AV32" s="14">
        <v>-17</v>
      </c>
      <c r="AW32" s="15">
        <f>SUM(AS32:AV32)</f>
        <v>-18</v>
      </c>
      <c r="AX32" s="4"/>
      <c r="AY32" s="14">
        <v>-38</v>
      </c>
      <c r="AZ32" s="14">
        <v>-53</v>
      </c>
      <c r="BA32" s="14">
        <v>34</v>
      </c>
      <c r="BB32" s="58">
        <v>52</v>
      </c>
      <c r="BC32" s="15">
        <f>SUM(AY32:BB32)</f>
        <v>-5</v>
      </c>
      <c r="BD32" s="4"/>
      <c r="BE32" s="14">
        <v>15</v>
      </c>
      <c r="BF32" s="84">
        <v>-29</v>
      </c>
      <c r="BG32" s="58">
        <v>-14</v>
      </c>
      <c r="BH32" s="58">
        <v>9</v>
      </c>
      <c r="BI32" s="15">
        <f>SUM(BE32:BH32)</f>
        <v>-19</v>
      </c>
      <c r="BK32" s="14">
        <v>-41</v>
      </c>
      <c r="BL32" s="58">
        <v>1</v>
      </c>
      <c r="BM32" s="58">
        <v>-21</v>
      </c>
      <c r="BN32" s="58">
        <v>7</v>
      </c>
      <c r="BO32" s="15">
        <f>SUM(BK32:BN32)</f>
        <v>-54</v>
      </c>
      <c r="BQ32" s="14">
        <v>16</v>
      </c>
      <c r="BR32" s="58">
        <v>-3</v>
      </c>
      <c r="BS32" s="58">
        <v>-35</v>
      </c>
      <c r="BT32" s="58">
        <v>-5</v>
      </c>
      <c r="BU32" s="15">
        <f>SUM(BQ32:BT32)</f>
        <v>-27</v>
      </c>
      <c r="BW32" s="14">
        <v>24</v>
      </c>
      <c r="BX32" s="58">
        <v>-74</v>
      </c>
      <c r="BY32" s="58"/>
      <c r="BZ32" s="58"/>
      <c r="CA32" s="15">
        <f>SUM(BW32:BZ32)</f>
        <v>-50</v>
      </c>
    </row>
    <row r="33" spans="1:79">
      <c r="A33" s="12" t="s">
        <v>39</v>
      </c>
      <c r="B33" s="6"/>
      <c r="C33" s="17">
        <f>SUM(C26:C32)</f>
        <v>2277</v>
      </c>
      <c r="D33" s="17">
        <f>SUM(D26:D32)</f>
        <v>-221</v>
      </c>
      <c r="E33" s="17">
        <f>SUM(E26:E32)</f>
        <v>-162</v>
      </c>
      <c r="F33" s="17">
        <f>SUM(F26:F32)</f>
        <v>71</v>
      </c>
      <c r="G33" s="18">
        <f>SUM(G26:G32)</f>
        <v>71</v>
      </c>
      <c r="H33" s="16"/>
      <c r="I33" s="17">
        <f>SUM(I26:I32)</f>
        <v>7</v>
      </c>
      <c r="J33" s="17">
        <f>SUM(J26:J32)</f>
        <v>-30</v>
      </c>
      <c r="K33" s="17">
        <f>SUM(K26:K32)</f>
        <v>109</v>
      </c>
      <c r="L33" s="17">
        <f>SUM(L26:L32)</f>
        <v>407</v>
      </c>
      <c r="M33" s="18">
        <f>SUM(M26:M32)</f>
        <v>407</v>
      </c>
      <c r="N33" s="12"/>
      <c r="O33" s="17">
        <f>SUM(O26:O32)</f>
        <v>321</v>
      </c>
      <c r="P33" s="17">
        <f>SUM(P26:P32)</f>
        <v>157</v>
      </c>
      <c r="Q33" s="17">
        <f>SUM(Q26:Q32)</f>
        <v>236</v>
      </c>
      <c r="R33" s="17">
        <f>SUM(R26:R32)</f>
        <v>409</v>
      </c>
      <c r="S33" s="18">
        <f>SUM(S26:S32)</f>
        <v>409</v>
      </c>
      <c r="T33" s="12"/>
      <c r="U33" s="17">
        <f>SUM(U26:U32)</f>
        <v>217</v>
      </c>
      <c r="V33" s="17">
        <f>SUM(V26:V32)</f>
        <v>-932</v>
      </c>
      <c r="W33" s="17">
        <f>SUM(W26:W32)</f>
        <v>-638</v>
      </c>
      <c r="X33" s="17">
        <f>SUM(X26:X32)</f>
        <v>-333</v>
      </c>
      <c r="Y33" s="18">
        <f>SUM(Y26:Y32)</f>
        <v>-333</v>
      </c>
      <c r="Z33" s="12"/>
      <c r="AA33" s="17">
        <f>SUM(AA26:AA32)</f>
        <v>347</v>
      </c>
      <c r="AB33" s="17">
        <f>SUM(AB26:AB32)</f>
        <v>-778</v>
      </c>
      <c r="AC33" s="17">
        <f>SUM(AC26:AC32)</f>
        <v>-465</v>
      </c>
      <c r="AD33" s="17">
        <f>SUM(AD26:AD32)</f>
        <v>-145</v>
      </c>
      <c r="AE33" s="18">
        <f>SUM(AE26:AE32)</f>
        <v>-145</v>
      </c>
      <c r="AF33" s="12"/>
      <c r="AG33" s="17">
        <f>SUM(AG26:AG32)</f>
        <v>-337</v>
      </c>
      <c r="AH33" s="17">
        <f>SUM(AH26:AH32)</f>
        <v>-559</v>
      </c>
      <c r="AI33" s="17">
        <f>SUM(AI26:AI32)</f>
        <v>-858</v>
      </c>
      <c r="AJ33" s="17">
        <f>SUM(AJ26:AJ32)</f>
        <v>-764</v>
      </c>
      <c r="AK33" s="18">
        <f>SUM(AK26:AK32)</f>
        <v>-764</v>
      </c>
      <c r="AL33" s="12"/>
      <c r="AM33" s="17">
        <f>SUM(AM26:AM32)</f>
        <v>-1176</v>
      </c>
      <c r="AN33" s="17">
        <f>SUM(AN26:AN32)</f>
        <v>-1221</v>
      </c>
      <c r="AO33" s="17">
        <f>SUM(AO26:AO32)</f>
        <v>-1168</v>
      </c>
      <c r="AP33" s="17">
        <f>SUM(AP26:AP32)</f>
        <v>-1023</v>
      </c>
      <c r="AQ33" s="18">
        <f>SUM(AQ26:AQ32)</f>
        <v>-1023</v>
      </c>
      <c r="AR33" s="12"/>
      <c r="AS33" s="17">
        <f>SUM(AS26:AS32)</f>
        <v>-1987</v>
      </c>
      <c r="AT33" s="17">
        <f>SUM(AT26:AT32)</f>
        <v>-2319</v>
      </c>
      <c r="AU33" s="17">
        <f>SUM(AU26:AU32)</f>
        <v>-2306</v>
      </c>
      <c r="AV33" s="17">
        <f>SUM(AV26:AV32)</f>
        <v>-1995</v>
      </c>
      <c r="AW33" s="18">
        <f>SUM(AW26:AW32)</f>
        <v>-1995</v>
      </c>
      <c r="AX33" s="12"/>
      <c r="AY33" s="17">
        <f>SUM(AY26:AY32)</f>
        <v>-2215</v>
      </c>
      <c r="AZ33" s="17">
        <f>SUM(AZ26:AZ32)</f>
        <v>-2825</v>
      </c>
      <c r="BA33" s="17">
        <f>SUM(BA26:BA32)</f>
        <v>-2821</v>
      </c>
      <c r="BB33" s="17">
        <f>SUM(BB26:BB32)</f>
        <v>-2260</v>
      </c>
      <c r="BC33" s="18">
        <f>SUM(BC26:BC32)</f>
        <v>-2260</v>
      </c>
      <c r="BD33" s="12"/>
      <c r="BE33" s="17">
        <f>SUM(BE26:BE32)</f>
        <v>-2282.6999999999998</v>
      </c>
      <c r="BF33" s="17">
        <f>SUM(BF26:BF32)</f>
        <v>-2586.6999999999998</v>
      </c>
      <c r="BG33" s="17">
        <f>SUM(BG26:BG32)</f>
        <v>-2680.7</v>
      </c>
      <c r="BH33" s="17">
        <f>SUM(BH26:BH32)</f>
        <v>-2724.7</v>
      </c>
      <c r="BI33" s="18">
        <f>SUM(BI26:BI32)</f>
        <v>-2724.7</v>
      </c>
      <c r="BK33" s="17">
        <f>SUM(BK26:BK32)</f>
        <v>-3393.7</v>
      </c>
      <c r="BL33" s="61">
        <f>SUM(BL26:BL32)</f>
        <v>-3789.7</v>
      </c>
      <c r="BM33" s="17">
        <f>SUM(BM26:BM32)</f>
        <v>-4143.7</v>
      </c>
      <c r="BN33" s="17">
        <f>SUM(BN26:BN32)</f>
        <v>-4104.7</v>
      </c>
      <c r="BO33" s="18">
        <f>SUM(BO26:BO32)</f>
        <v>-4104.7</v>
      </c>
      <c r="BQ33" s="17">
        <f>SUM(BQ26:BQ32)</f>
        <v>-4820.7</v>
      </c>
      <c r="BR33" s="61">
        <f>SUM(BR26:BR32)</f>
        <v>-4939.7</v>
      </c>
      <c r="BS33" s="17">
        <f>SUM(BS26:BS32)</f>
        <v>-4770.7</v>
      </c>
      <c r="BT33" s="17">
        <f>SUM(BT26:BT32)</f>
        <v>-4428.7</v>
      </c>
      <c r="BU33" s="18">
        <f>SUM(BU26:BU32)</f>
        <v>-4428.7</v>
      </c>
      <c r="BW33" s="17">
        <f>SUM(BW26:BW32)</f>
        <v>-4490.7</v>
      </c>
      <c r="BX33" s="61">
        <f>SUM(BX26:BX32)</f>
        <v>-2691.7</v>
      </c>
      <c r="BY33" s="17">
        <f>SUM(BY26:BY32)</f>
        <v>0</v>
      </c>
      <c r="BZ33" s="17">
        <f>SUM(BZ26:BZ32)</f>
        <v>0</v>
      </c>
      <c r="CA33" s="18">
        <f>SUM(CA26:CA32)</f>
        <v>-2691.7</v>
      </c>
    </row>
    <row r="34" spans="1:79">
      <c r="BL34" s="10"/>
    </row>
    <row r="36" spans="1:79">
      <c r="V36" s="45"/>
      <c r="W36" s="46"/>
      <c r="X36" s="46"/>
      <c r="AB36" s="45"/>
      <c r="AC36" s="46"/>
      <c r="AD36" s="46"/>
      <c r="AH36" s="45"/>
      <c r="AI36" s="46"/>
      <c r="AJ36" s="46"/>
      <c r="AN36" s="45"/>
      <c r="AO36" s="46"/>
      <c r="AP36" s="46"/>
      <c r="AT36" s="45"/>
      <c r="AU36" s="46"/>
      <c r="AV36" s="46"/>
      <c r="AZ36" s="45"/>
      <c r="BA36" s="46"/>
      <c r="BB36" s="46"/>
      <c r="BF36" s="45"/>
      <c r="BG36" s="46"/>
      <c r="BH36" s="46"/>
      <c r="BI36" s="19"/>
      <c r="BL36" s="45"/>
      <c r="BM36" s="46"/>
      <c r="BN36" s="46"/>
      <c r="BO36" s="19"/>
    </row>
    <row r="37" spans="1:79">
      <c r="V37" s="45"/>
      <c r="W37" s="45"/>
      <c r="X37" s="45"/>
      <c r="AB37" s="45"/>
      <c r="AC37" s="45"/>
      <c r="AD37" s="45"/>
      <c r="AH37" s="45"/>
      <c r="AI37" s="45"/>
      <c r="AJ37" s="45"/>
      <c r="AN37" s="45"/>
      <c r="AO37" s="45"/>
      <c r="AP37" s="45"/>
      <c r="AT37" s="45"/>
      <c r="AU37" s="45"/>
      <c r="AV37" s="45"/>
      <c r="AZ37" s="45"/>
      <c r="BA37" s="45"/>
      <c r="BB37" s="45"/>
      <c r="BF37" s="45"/>
      <c r="BG37" s="45"/>
      <c r="BH37" s="45"/>
      <c r="BL37" s="45"/>
      <c r="BM37" s="45"/>
      <c r="BN37" s="45"/>
    </row>
  </sheetData>
  <mergeCells count="26">
    <mergeCell ref="C1:G1"/>
    <mergeCell ref="I1:M1"/>
    <mergeCell ref="AG1:AK1"/>
    <mergeCell ref="AG3:AK3"/>
    <mergeCell ref="BE1:BI1"/>
    <mergeCell ref="BE3:BI3"/>
    <mergeCell ref="AY1:BC1"/>
    <mergeCell ref="AY3:BC3"/>
    <mergeCell ref="C3:G3"/>
    <mergeCell ref="I3:M3"/>
    <mergeCell ref="BW1:CA1"/>
    <mergeCell ref="BW3:CA3"/>
    <mergeCell ref="O3:S3"/>
    <mergeCell ref="U3:Y3"/>
    <mergeCell ref="AM1:AQ1"/>
    <mergeCell ref="U1:Y1"/>
    <mergeCell ref="AS1:AW1"/>
    <mergeCell ref="AS3:AW3"/>
    <mergeCell ref="AA3:AE3"/>
    <mergeCell ref="AA1:AE1"/>
    <mergeCell ref="O1:S1"/>
    <mergeCell ref="BQ1:BU1"/>
    <mergeCell ref="BQ3:BU3"/>
    <mergeCell ref="AM3:AQ3"/>
    <mergeCell ref="BK1:BO1"/>
    <mergeCell ref="BK3:BO3"/>
  </mergeCells>
  <phoneticPr fontId="0" type="noConversion"/>
  <pageMargins left="0.23622047244094491" right="0.27559055118110237" top="0.62992125984251968" bottom="0.98425196850393704" header="0.51181102362204722" footer="0.51181102362204722"/>
  <pageSetup paperSize="9" scale="78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Q75"/>
  <sheetViews>
    <sheetView showGridLines="0" zoomScaleNormal="100" workbookViewId="0">
      <pane xSplit="1" ySplit="6" topLeftCell="BE7" activePane="bottomRight" state="frozen"/>
      <selection activeCell="AJ26" sqref="AJ26"/>
      <selection pane="topRight" activeCell="AJ26" sqref="AJ26"/>
      <selection pane="bottomLeft" activeCell="AJ26" sqref="AJ26"/>
      <selection pane="bottomRight" activeCell="H24" sqref="H24"/>
    </sheetView>
  </sheetViews>
  <sheetFormatPr defaultColWidth="9.140625" defaultRowHeight="12.75"/>
  <cols>
    <col min="1" max="1" width="32.7109375" style="4" customWidth="1"/>
    <col min="2" max="2" width="4.28515625" style="10" customWidth="1"/>
    <col min="3" max="6" width="9.140625" style="4" customWidth="1"/>
    <col min="7" max="7" width="9.140625" style="12" customWidth="1"/>
    <col min="8" max="8" width="4.85546875" style="3" customWidth="1"/>
    <col min="9" max="12" width="9.140625" style="4" customWidth="1"/>
    <col min="13" max="13" width="9.140625" style="12" customWidth="1"/>
    <col min="14" max="14" width="4.85546875" style="4" customWidth="1"/>
    <col min="15" max="18" width="9.140625" style="4" customWidth="1"/>
    <col min="19" max="19" width="9.140625" style="12" customWidth="1"/>
    <col min="20" max="20" width="4.85546875" style="4" customWidth="1"/>
    <col min="21" max="24" width="9.140625" style="4" customWidth="1"/>
    <col min="25" max="25" width="9.140625" style="12" customWidth="1"/>
    <col min="26" max="26" width="4.85546875" style="4" customWidth="1"/>
    <col min="27" max="27" width="9.42578125" style="4" customWidth="1"/>
    <col min="28" max="28" width="9.140625" style="4" customWidth="1"/>
    <col min="29" max="29" width="9.28515625" style="4" customWidth="1"/>
    <col min="30" max="30" width="9.42578125" style="4" customWidth="1"/>
    <col min="31" max="31" width="9.28515625" style="12" customWidth="1"/>
    <col min="32" max="32" width="4.85546875" style="4" customWidth="1"/>
    <col min="33" max="33" width="9.28515625" style="4" customWidth="1"/>
    <col min="34" max="36" width="9.42578125" style="4" customWidth="1"/>
    <col min="37" max="37" width="9.28515625" style="12" customWidth="1"/>
    <col min="38" max="38" width="4.85546875" style="4" customWidth="1"/>
    <col min="39" max="41" width="9.28515625" style="4" customWidth="1"/>
    <col min="42" max="42" width="9.42578125" style="4" customWidth="1"/>
    <col min="43" max="43" width="9.28515625" style="12" customWidth="1"/>
    <col min="44" max="44" width="4.85546875" style="4" customWidth="1"/>
    <col min="45" max="45" width="9.42578125" style="4" customWidth="1"/>
    <col min="46" max="48" width="9.28515625" style="4" customWidth="1"/>
    <col min="49" max="49" width="9.28515625" style="12" customWidth="1"/>
    <col min="50" max="50" width="3.28515625" style="4" customWidth="1"/>
    <col min="51" max="52" width="9.28515625" style="4" bestFit="1" customWidth="1"/>
    <col min="53" max="53" width="10.5703125" style="4" bestFit="1" customWidth="1"/>
    <col min="54" max="54" width="10" style="4" bestFit="1" customWidth="1"/>
    <col min="55" max="55" width="9.42578125" style="4" bestFit="1" customWidth="1"/>
    <col min="56" max="56" width="2.42578125" style="4" customWidth="1"/>
    <col min="57" max="61" width="9.28515625" style="4" bestFit="1" customWidth="1"/>
    <col min="62" max="62" width="1.5703125" style="4" customWidth="1"/>
    <col min="63" max="67" width="9.28515625" style="4" bestFit="1" customWidth="1"/>
    <col min="68" max="68" width="1.5703125" style="4" customWidth="1"/>
    <col min="69" max="73" width="9.140625" style="4"/>
    <col min="74" max="74" width="3.42578125" style="4" customWidth="1"/>
    <col min="75" max="16384" width="9.140625" style="4"/>
  </cols>
  <sheetData>
    <row r="1" spans="1:246">
      <c r="C1" s="106" t="s">
        <v>157</v>
      </c>
      <c r="D1" s="106"/>
      <c r="E1" s="106"/>
      <c r="F1" s="106"/>
      <c r="G1" s="106"/>
      <c r="I1" s="106" t="s">
        <v>157</v>
      </c>
      <c r="J1" s="106"/>
      <c r="K1" s="106"/>
      <c r="L1" s="106"/>
      <c r="M1" s="106"/>
      <c r="O1" s="106" t="s">
        <v>157</v>
      </c>
      <c r="P1" s="106"/>
      <c r="Q1" s="106"/>
      <c r="R1" s="106"/>
      <c r="S1" s="106"/>
      <c r="U1" s="106" t="s">
        <v>157</v>
      </c>
      <c r="V1" s="106"/>
      <c r="W1" s="106"/>
      <c r="X1" s="106"/>
      <c r="Y1" s="106"/>
      <c r="AA1" s="106" t="s">
        <v>132</v>
      </c>
      <c r="AB1" s="106"/>
      <c r="AC1" s="106"/>
      <c r="AD1" s="106"/>
      <c r="AE1" s="106"/>
      <c r="AG1" s="106" t="s">
        <v>132</v>
      </c>
      <c r="AH1" s="106"/>
      <c r="AI1" s="106"/>
      <c r="AJ1" s="106"/>
      <c r="AK1" s="106"/>
      <c r="AM1" s="106" t="s">
        <v>132</v>
      </c>
      <c r="AN1" s="106"/>
      <c r="AO1" s="106"/>
      <c r="AP1" s="106"/>
      <c r="AQ1" s="106"/>
      <c r="AS1" s="106" t="s">
        <v>132</v>
      </c>
      <c r="AT1" s="106"/>
      <c r="AU1" s="106"/>
      <c r="AV1" s="106"/>
      <c r="AW1" s="106"/>
      <c r="AY1" s="106" t="s">
        <v>132</v>
      </c>
      <c r="AZ1" s="106"/>
      <c r="BA1" s="106"/>
      <c r="BB1" s="106"/>
      <c r="BC1" s="106"/>
      <c r="BE1" s="106" t="s">
        <v>132</v>
      </c>
      <c r="BF1" s="106"/>
      <c r="BG1" s="106"/>
      <c r="BH1" s="106"/>
      <c r="BI1" s="106"/>
      <c r="BK1" s="106" t="s">
        <v>132</v>
      </c>
      <c r="BL1" s="106"/>
      <c r="BM1" s="106"/>
      <c r="BN1" s="106"/>
      <c r="BO1" s="106"/>
      <c r="BQ1" s="106" t="s">
        <v>132</v>
      </c>
      <c r="BR1" s="106"/>
      <c r="BS1" s="106"/>
      <c r="BT1" s="106"/>
      <c r="BU1" s="106"/>
      <c r="BW1" s="106" t="s">
        <v>132</v>
      </c>
      <c r="BX1" s="106"/>
      <c r="BY1" s="106"/>
      <c r="BZ1" s="106"/>
      <c r="CA1" s="106"/>
    </row>
    <row r="2" spans="1:246">
      <c r="A2" s="1" t="s">
        <v>46</v>
      </c>
      <c r="B2" s="2"/>
      <c r="C2" s="107">
        <v>2001</v>
      </c>
      <c r="D2" s="107"/>
      <c r="E2" s="107"/>
      <c r="F2" s="107"/>
      <c r="G2" s="107"/>
      <c r="I2" s="107">
        <v>2002</v>
      </c>
      <c r="J2" s="107"/>
      <c r="K2" s="107"/>
      <c r="L2" s="107"/>
      <c r="M2" s="107"/>
      <c r="O2" s="107">
        <v>2003</v>
      </c>
      <c r="P2" s="107"/>
      <c r="Q2" s="107"/>
      <c r="R2" s="107"/>
      <c r="S2" s="107"/>
      <c r="U2" s="107">
        <v>2004</v>
      </c>
      <c r="V2" s="107"/>
      <c r="W2" s="107"/>
      <c r="X2" s="107"/>
      <c r="Y2" s="107"/>
      <c r="AA2" s="107">
        <v>2004</v>
      </c>
      <c r="AB2" s="107"/>
      <c r="AC2" s="107"/>
      <c r="AD2" s="107"/>
      <c r="AE2" s="107"/>
      <c r="AG2" s="107">
        <v>2005</v>
      </c>
      <c r="AH2" s="107"/>
      <c r="AI2" s="107"/>
      <c r="AJ2" s="107"/>
      <c r="AK2" s="107"/>
      <c r="AM2" s="107">
        <v>2006</v>
      </c>
      <c r="AN2" s="107"/>
      <c r="AO2" s="107"/>
      <c r="AP2" s="107"/>
      <c r="AQ2" s="107"/>
      <c r="AS2" s="107">
        <v>2007</v>
      </c>
      <c r="AT2" s="107"/>
      <c r="AU2" s="107"/>
      <c r="AV2" s="107"/>
      <c r="AW2" s="107"/>
      <c r="AY2" s="107">
        <v>2008</v>
      </c>
      <c r="AZ2" s="107"/>
      <c r="BA2" s="107"/>
      <c r="BB2" s="107"/>
      <c r="BC2" s="107"/>
      <c r="BE2" s="107">
        <v>2009</v>
      </c>
      <c r="BF2" s="107"/>
      <c r="BG2" s="107"/>
      <c r="BH2" s="107"/>
      <c r="BI2" s="107"/>
      <c r="BK2" s="107">
        <v>2010</v>
      </c>
      <c r="BL2" s="107"/>
      <c r="BM2" s="107"/>
      <c r="BN2" s="107"/>
      <c r="BO2" s="107"/>
      <c r="BQ2" s="107">
        <v>2011</v>
      </c>
      <c r="BR2" s="107"/>
      <c r="BS2" s="107"/>
      <c r="BT2" s="107"/>
      <c r="BU2" s="107"/>
      <c r="BW2" s="107">
        <v>2012</v>
      </c>
      <c r="BX2" s="107"/>
      <c r="BY2" s="107"/>
      <c r="BZ2" s="107"/>
      <c r="CA2" s="107"/>
    </row>
    <row r="3" spans="1:246">
      <c r="A3" s="5" t="s">
        <v>49</v>
      </c>
      <c r="B3" s="6"/>
      <c r="C3" s="71" t="s">
        <v>10</v>
      </c>
      <c r="D3" s="71" t="s">
        <v>11</v>
      </c>
      <c r="E3" s="71" t="s">
        <v>12</v>
      </c>
      <c r="F3" s="71" t="s">
        <v>13</v>
      </c>
      <c r="G3" s="8" t="s">
        <v>14</v>
      </c>
      <c r="H3" s="9"/>
      <c r="I3" s="71" t="s">
        <v>10</v>
      </c>
      <c r="J3" s="71" t="s">
        <v>11</v>
      </c>
      <c r="K3" s="71" t="s">
        <v>12</v>
      </c>
      <c r="L3" s="71" t="s">
        <v>13</v>
      </c>
      <c r="M3" s="8" t="s">
        <v>14</v>
      </c>
      <c r="O3" s="71" t="s">
        <v>10</v>
      </c>
      <c r="P3" s="71" t="s">
        <v>11</v>
      </c>
      <c r="Q3" s="71" t="s">
        <v>12</v>
      </c>
      <c r="R3" s="71" t="s">
        <v>13</v>
      </c>
      <c r="S3" s="8" t="s">
        <v>14</v>
      </c>
      <c r="U3" s="71" t="s">
        <v>10</v>
      </c>
      <c r="V3" s="71" t="s">
        <v>11</v>
      </c>
      <c r="W3" s="71" t="s">
        <v>12</v>
      </c>
      <c r="X3" s="71" t="s">
        <v>13</v>
      </c>
      <c r="Y3" s="8" t="s">
        <v>14</v>
      </c>
      <c r="AA3" s="71" t="s">
        <v>10</v>
      </c>
      <c r="AB3" s="71" t="s">
        <v>11</v>
      </c>
      <c r="AC3" s="71" t="s">
        <v>12</v>
      </c>
      <c r="AD3" s="71" t="s">
        <v>13</v>
      </c>
      <c r="AE3" s="8" t="s">
        <v>14</v>
      </c>
      <c r="AF3" s="78"/>
      <c r="AG3" s="71" t="s">
        <v>10</v>
      </c>
      <c r="AH3" s="71" t="s">
        <v>11</v>
      </c>
      <c r="AI3" s="71" t="s">
        <v>12</v>
      </c>
      <c r="AJ3" s="71" t="s">
        <v>13</v>
      </c>
      <c r="AK3" s="8" t="s">
        <v>14</v>
      </c>
      <c r="AM3" s="71" t="s">
        <v>10</v>
      </c>
      <c r="AN3" s="71" t="s">
        <v>11</v>
      </c>
      <c r="AO3" s="71" t="s">
        <v>12</v>
      </c>
      <c r="AP3" s="71" t="s">
        <v>13</v>
      </c>
      <c r="AQ3" s="8" t="s">
        <v>14</v>
      </c>
      <c r="AS3" s="71" t="s">
        <v>10</v>
      </c>
      <c r="AT3" s="71" t="s">
        <v>11</v>
      </c>
      <c r="AU3" s="71" t="s">
        <v>12</v>
      </c>
      <c r="AV3" s="71" t="s">
        <v>13</v>
      </c>
      <c r="AW3" s="8" t="s">
        <v>14</v>
      </c>
      <c r="AY3" s="71" t="s">
        <v>10</v>
      </c>
      <c r="AZ3" s="71" t="s">
        <v>11</v>
      </c>
      <c r="BA3" s="71" t="s">
        <v>12</v>
      </c>
      <c r="BB3" s="71" t="s">
        <v>13</v>
      </c>
      <c r="BC3" s="8" t="s">
        <v>14</v>
      </c>
      <c r="BE3" s="71" t="s">
        <v>10</v>
      </c>
      <c r="BF3" s="71" t="s">
        <v>11</v>
      </c>
      <c r="BG3" s="71" t="s">
        <v>12</v>
      </c>
      <c r="BH3" s="71" t="s">
        <v>13</v>
      </c>
      <c r="BI3" s="8" t="s">
        <v>14</v>
      </c>
      <c r="BK3" s="71" t="s">
        <v>10</v>
      </c>
      <c r="BL3" s="71" t="s">
        <v>11</v>
      </c>
      <c r="BM3" s="71" t="s">
        <v>12</v>
      </c>
      <c r="BN3" s="71" t="s">
        <v>13</v>
      </c>
      <c r="BO3" s="8" t="s">
        <v>14</v>
      </c>
      <c r="BQ3" s="71" t="s">
        <v>10</v>
      </c>
      <c r="BR3" s="71" t="s">
        <v>11</v>
      </c>
      <c r="BS3" s="71" t="s">
        <v>12</v>
      </c>
      <c r="BT3" s="71" t="s">
        <v>13</v>
      </c>
      <c r="BU3" s="8" t="s">
        <v>14</v>
      </c>
      <c r="BW3" s="71" t="s">
        <v>10</v>
      </c>
      <c r="BX3" s="71" t="s">
        <v>11</v>
      </c>
      <c r="BY3" s="71" t="s">
        <v>12</v>
      </c>
      <c r="BZ3" s="71" t="s">
        <v>13</v>
      </c>
      <c r="CA3" s="8" t="s">
        <v>14</v>
      </c>
    </row>
    <row r="4" spans="1:246">
      <c r="G4" s="5"/>
      <c r="M4" s="5"/>
      <c r="S4" s="5"/>
      <c r="Y4" s="5"/>
      <c r="AE4" s="5"/>
      <c r="AK4" s="5"/>
      <c r="AQ4" s="5"/>
      <c r="AW4" s="5"/>
      <c r="BC4" s="5"/>
      <c r="BI4" s="5"/>
      <c r="BO4" s="5"/>
      <c r="BU4" s="5"/>
      <c r="CA4" s="5"/>
    </row>
    <row r="5" spans="1:246">
      <c r="G5" s="5"/>
      <c r="M5" s="5"/>
      <c r="S5" s="5"/>
      <c r="Y5" s="5"/>
      <c r="AE5" s="5"/>
      <c r="AK5" s="5"/>
      <c r="AQ5" s="5"/>
      <c r="AW5" s="5"/>
      <c r="BC5" s="5"/>
      <c r="BI5" s="5"/>
      <c r="BO5" s="5"/>
      <c r="BU5" s="5"/>
      <c r="CA5" s="5"/>
    </row>
    <row r="6" spans="1:246">
      <c r="A6" s="11" t="s">
        <v>0</v>
      </c>
      <c r="G6" s="5"/>
      <c r="M6" s="5"/>
      <c r="S6" s="5"/>
      <c r="Y6" s="5"/>
      <c r="AE6" s="5"/>
      <c r="AK6" s="5"/>
      <c r="AQ6" s="5"/>
      <c r="AW6" s="5"/>
      <c r="BC6" s="5"/>
      <c r="BI6" s="5"/>
      <c r="BO6" s="5"/>
      <c r="BU6" s="5"/>
      <c r="CA6" s="5"/>
    </row>
    <row r="7" spans="1:246">
      <c r="A7" s="4" t="s">
        <v>158</v>
      </c>
      <c r="C7" s="14">
        <v>694</v>
      </c>
      <c r="D7" s="14">
        <v>787</v>
      </c>
      <c r="E7" s="14">
        <v>811</v>
      </c>
      <c r="F7" s="14">
        <v>747</v>
      </c>
      <c r="G7" s="15">
        <f>SUM(C7:F7)</f>
        <v>3039</v>
      </c>
      <c r="H7" s="16"/>
      <c r="I7" s="14">
        <v>593</v>
      </c>
      <c r="J7" s="14">
        <v>731</v>
      </c>
      <c r="K7" s="14">
        <v>771</v>
      </c>
      <c r="L7" s="14">
        <v>725</v>
      </c>
      <c r="M7" s="15">
        <f>SUM(I7:L7)</f>
        <v>2820</v>
      </c>
      <c r="O7" s="14">
        <v>559</v>
      </c>
      <c r="P7" s="14">
        <v>688</v>
      </c>
      <c r="Q7" s="14">
        <v>767</v>
      </c>
      <c r="R7" s="14">
        <v>704</v>
      </c>
      <c r="S7" s="15">
        <f>SUM(O7:R7)</f>
        <v>2718</v>
      </c>
      <c r="U7" s="14">
        <v>672</v>
      </c>
      <c r="V7" s="14">
        <v>824</v>
      </c>
      <c r="W7" s="14">
        <v>912</v>
      </c>
      <c r="X7" s="14">
        <v>916</v>
      </c>
      <c r="Y7" s="15">
        <f>SUM(U7:X7)</f>
        <v>3324</v>
      </c>
      <c r="AA7" s="14">
        <v>578</v>
      </c>
      <c r="AB7" s="14">
        <v>728</v>
      </c>
      <c r="AC7" s="14">
        <v>807</v>
      </c>
      <c r="AD7" s="14">
        <v>821</v>
      </c>
      <c r="AE7" s="15">
        <f>SUM(AA7:AD7)</f>
        <v>2934</v>
      </c>
      <c r="AG7" s="14">
        <v>644</v>
      </c>
      <c r="AH7" s="14">
        <v>870</v>
      </c>
      <c r="AI7" s="14">
        <v>954</v>
      </c>
      <c r="AJ7" s="14">
        <v>1061</v>
      </c>
      <c r="AK7" s="15">
        <f>SUM(AG7:AJ7)</f>
        <v>3529</v>
      </c>
      <c r="AM7" s="14">
        <v>1033</v>
      </c>
      <c r="AN7" s="14">
        <v>1373</v>
      </c>
      <c r="AO7" s="14">
        <v>1390</v>
      </c>
      <c r="AP7" s="14">
        <v>1472</v>
      </c>
      <c r="AQ7" s="15">
        <f>SUM(AM7:AP7)</f>
        <v>5268</v>
      </c>
      <c r="AS7" s="14">
        <v>1674</v>
      </c>
      <c r="AT7" s="14">
        <v>2048</v>
      </c>
      <c r="AU7" s="14">
        <v>1977</v>
      </c>
      <c r="AV7" s="14">
        <v>1925</v>
      </c>
      <c r="AW7" s="15">
        <f>SUM(AS7:AV7)</f>
        <v>7624</v>
      </c>
      <c r="AY7" s="14">
        <v>1856</v>
      </c>
      <c r="AZ7" s="14">
        <v>2097</v>
      </c>
      <c r="BA7" s="14">
        <v>2051</v>
      </c>
      <c r="BB7" s="14">
        <f>7766-6004</f>
        <v>1762</v>
      </c>
      <c r="BC7" s="15">
        <f>SUM(AY7:BB7)</f>
        <v>7766</v>
      </c>
      <c r="BE7" s="14">
        <v>1270</v>
      </c>
      <c r="BF7" s="14">
        <v>1781</v>
      </c>
      <c r="BG7" s="14">
        <v>1703</v>
      </c>
      <c r="BH7" s="84">
        <v>1629</v>
      </c>
      <c r="BI7" s="15">
        <f>SUM(BE7:BH7)</f>
        <v>6383</v>
      </c>
      <c r="BK7" s="14">
        <v>1604</v>
      </c>
      <c r="BL7" s="14">
        <v>2056</v>
      </c>
      <c r="BM7" s="14">
        <v>2308</v>
      </c>
      <c r="BN7" s="84">
        <v>2552</v>
      </c>
      <c r="BO7" s="15">
        <f>SUM(BK7:BN7)</f>
        <v>8520</v>
      </c>
      <c r="BQ7" s="14">
        <v>2179</v>
      </c>
      <c r="BR7" s="14">
        <v>2316</v>
      </c>
      <c r="BS7" s="14">
        <v>2356</v>
      </c>
      <c r="BT7" s="84">
        <v>2237</v>
      </c>
      <c r="BU7" s="15">
        <f>SUM(BQ7:BT7)</f>
        <v>9088</v>
      </c>
      <c r="BW7" s="14">
        <v>1837</v>
      </c>
      <c r="BX7" s="14">
        <v>2159</v>
      </c>
      <c r="BY7" s="14"/>
      <c r="BZ7" s="84"/>
      <c r="CA7" s="15">
        <f>SUM(BW7:BZ7)</f>
        <v>3996</v>
      </c>
    </row>
    <row r="8" spans="1:246">
      <c r="A8" s="4" t="s">
        <v>40</v>
      </c>
      <c r="C8" s="14">
        <v>743</v>
      </c>
      <c r="D8" s="14">
        <v>733</v>
      </c>
      <c r="E8" s="14">
        <v>681</v>
      </c>
      <c r="F8" s="14">
        <v>726</v>
      </c>
      <c r="G8" s="15">
        <f t="shared" ref="G8:G13" si="0">SUM(C8:F8)</f>
        <v>2883</v>
      </c>
      <c r="H8" s="16"/>
      <c r="I8" s="14">
        <v>681</v>
      </c>
      <c r="J8" s="14">
        <v>718</v>
      </c>
      <c r="K8" s="14">
        <v>660</v>
      </c>
      <c r="L8" s="14">
        <v>674</v>
      </c>
      <c r="M8" s="15">
        <f t="shared" ref="M8:M13" si="1">SUM(I8:L8)</f>
        <v>2733</v>
      </c>
      <c r="O8" s="14">
        <v>673</v>
      </c>
      <c r="P8" s="14">
        <v>687</v>
      </c>
      <c r="Q8" s="14">
        <v>657</v>
      </c>
      <c r="R8" s="14">
        <v>684</v>
      </c>
      <c r="S8" s="15">
        <f t="shared" ref="S8:S13" si="2">SUM(O8:R8)</f>
        <v>2701</v>
      </c>
      <c r="U8" s="14">
        <v>703</v>
      </c>
      <c r="V8" s="14">
        <v>1103</v>
      </c>
      <c r="W8" s="14">
        <v>1147</v>
      </c>
      <c r="X8" s="14">
        <v>1158</v>
      </c>
      <c r="Y8" s="15">
        <f t="shared" ref="Y8:Y13" si="3">SUM(U8:X8)</f>
        <v>4111</v>
      </c>
      <c r="AA8" s="14">
        <v>703</v>
      </c>
      <c r="AB8" s="14">
        <v>1103</v>
      </c>
      <c r="AC8" s="14">
        <v>1147</v>
      </c>
      <c r="AD8" s="14">
        <v>1158</v>
      </c>
      <c r="AE8" s="15">
        <f t="shared" ref="AE8:AE13" si="4">SUM(AA8:AD8)</f>
        <v>4111</v>
      </c>
      <c r="AG8" s="14">
        <v>1195</v>
      </c>
      <c r="AH8" s="14">
        <v>1394</v>
      </c>
      <c r="AI8" s="14">
        <v>1247</v>
      </c>
      <c r="AJ8" s="14">
        <v>1277</v>
      </c>
      <c r="AK8" s="15">
        <f t="shared" ref="AK8:AK13" si="5">SUM(AG8:AJ8)</f>
        <v>5113</v>
      </c>
      <c r="AM8" s="14">
        <v>1353</v>
      </c>
      <c r="AN8" s="14">
        <v>1438</v>
      </c>
      <c r="AO8" s="14">
        <v>1292</v>
      </c>
      <c r="AP8" s="14">
        <v>1356</v>
      </c>
      <c r="AQ8" s="15">
        <f t="shared" ref="AQ8:AQ13" si="6">SUM(AM8:AP8)</f>
        <v>5439</v>
      </c>
      <c r="AS8" s="14">
        <v>1432</v>
      </c>
      <c r="AT8" s="14">
        <v>1530</v>
      </c>
      <c r="AU8" s="14">
        <v>1347</v>
      </c>
      <c r="AV8" s="14">
        <v>1475</v>
      </c>
      <c r="AW8" s="15">
        <f t="shared" ref="AW8:AW13" si="7">SUM(AS8:AV8)</f>
        <v>5784</v>
      </c>
      <c r="AY8" s="14">
        <v>1483</v>
      </c>
      <c r="AZ8" s="14">
        <v>1637</v>
      </c>
      <c r="BA8" s="14">
        <v>1426</v>
      </c>
      <c r="BB8" s="14">
        <f>5882-4546</f>
        <v>1336</v>
      </c>
      <c r="BC8" s="15">
        <f t="shared" ref="BC8:BC13" si="8">SUM(AY8:BB8)</f>
        <v>5882</v>
      </c>
      <c r="BE8" s="14">
        <v>1318</v>
      </c>
      <c r="BF8" s="14">
        <v>1324</v>
      </c>
      <c r="BG8" s="14">
        <v>1242</v>
      </c>
      <c r="BH8" s="84">
        <v>1254</v>
      </c>
      <c r="BI8" s="15">
        <f t="shared" ref="BI8:BI13" si="9">SUM(BE8:BH8)</f>
        <v>5138</v>
      </c>
      <c r="BK8" s="14">
        <v>1418</v>
      </c>
      <c r="BL8" s="14">
        <v>1532</v>
      </c>
      <c r="BM8" s="14">
        <v>1372</v>
      </c>
      <c r="BN8" s="84">
        <v>1425</v>
      </c>
      <c r="BO8" s="15">
        <f t="shared" ref="BO8:BO13" si="10">SUM(BK8:BN8)</f>
        <v>5747</v>
      </c>
      <c r="BQ8" s="14">
        <v>1552</v>
      </c>
      <c r="BR8" s="14">
        <v>1651</v>
      </c>
      <c r="BS8" s="14">
        <v>1501</v>
      </c>
      <c r="BT8" s="84">
        <v>1603</v>
      </c>
      <c r="BU8" s="15">
        <f t="shared" ref="BU8:BU13" si="11">SUM(BQ8:BT8)</f>
        <v>6307</v>
      </c>
      <c r="BW8" s="14">
        <v>1636</v>
      </c>
      <c r="BX8" s="14">
        <v>1693</v>
      </c>
      <c r="BY8" s="14"/>
      <c r="BZ8" s="84"/>
      <c r="CA8" s="15">
        <f t="shared" ref="CA8:CA13" si="12">SUM(BW8:BZ8)</f>
        <v>3329</v>
      </c>
    </row>
    <row r="9" spans="1:246" hidden="1">
      <c r="A9" s="4" t="s">
        <v>41</v>
      </c>
      <c r="C9" s="14">
        <v>25</v>
      </c>
      <c r="D9" s="14">
        <v>26</v>
      </c>
      <c r="E9" s="14">
        <v>25</v>
      </c>
      <c r="F9" s="14">
        <v>23</v>
      </c>
      <c r="G9" s="15">
        <f t="shared" si="0"/>
        <v>99</v>
      </c>
      <c r="H9" s="16"/>
      <c r="I9" s="14">
        <v>18</v>
      </c>
      <c r="J9" s="14">
        <v>19</v>
      </c>
      <c r="K9" s="14">
        <v>18</v>
      </c>
      <c r="L9" s="14">
        <v>14</v>
      </c>
      <c r="M9" s="15">
        <f t="shared" si="1"/>
        <v>69</v>
      </c>
      <c r="O9" s="14">
        <v>15</v>
      </c>
      <c r="P9" s="14">
        <v>14</v>
      </c>
      <c r="Q9" s="14">
        <v>12</v>
      </c>
      <c r="R9" s="14">
        <v>13</v>
      </c>
      <c r="S9" s="15">
        <f t="shared" si="2"/>
        <v>54</v>
      </c>
      <c r="U9" s="14">
        <v>12</v>
      </c>
      <c r="V9" s="14">
        <v>12</v>
      </c>
      <c r="W9" s="14">
        <v>5</v>
      </c>
      <c r="X9" s="14">
        <v>3</v>
      </c>
      <c r="Y9" s="15">
        <f t="shared" si="3"/>
        <v>32</v>
      </c>
      <c r="AA9" s="14">
        <v>12</v>
      </c>
      <c r="AB9" s="14">
        <v>12</v>
      </c>
      <c r="AC9" s="14">
        <v>5</v>
      </c>
      <c r="AD9" s="14">
        <v>3</v>
      </c>
      <c r="AE9" s="15">
        <f t="shared" si="4"/>
        <v>32</v>
      </c>
      <c r="AG9" s="14">
        <v>2</v>
      </c>
      <c r="AH9" s="14">
        <v>1</v>
      </c>
      <c r="AI9" s="14">
        <v>1</v>
      </c>
      <c r="AJ9" s="14">
        <v>0</v>
      </c>
      <c r="AK9" s="15">
        <f t="shared" si="5"/>
        <v>4</v>
      </c>
      <c r="AM9" s="14"/>
      <c r="AN9" s="14"/>
      <c r="AO9" s="14"/>
      <c r="AP9" s="14"/>
      <c r="AQ9" s="15">
        <f t="shared" si="6"/>
        <v>0</v>
      </c>
      <c r="AS9" s="14"/>
      <c r="AT9" s="14"/>
      <c r="AU9" s="14"/>
      <c r="AV9" s="14"/>
      <c r="AW9" s="15">
        <f t="shared" si="7"/>
        <v>0</v>
      </c>
      <c r="AY9" s="14"/>
      <c r="AZ9" s="14"/>
      <c r="BA9" s="14"/>
      <c r="BB9" s="14"/>
      <c r="BC9" s="15">
        <f t="shared" si="8"/>
        <v>0</v>
      </c>
      <c r="BE9" s="14"/>
      <c r="BF9" s="14"/>
      <c r="BG9" s="14"/>
      <c r="BH9" s="84"/>
      <c r="BI9" s="15">
        <f t="shared" si="9"/>
        <v>0</v>
      </c>
      <c r="BK9" s="14"/>
      <c r="BL9" s="14"/>
      <c r="BM9" s="14"/>
      <c r="BN9" s="84"/>
      <c r="BO9" s="15">
        <f t="shared" si="10"/>
        <v>0</v>
      </c>
      <c r="BQ9" s="14"/>
      <c r="BR9" s="14"/>
      <c r="BS9" s="14"/>
      <c r="BT9" s="84"/>
      <c r="BU9" s="15">
        <f t="shared" si="11"/>
        <v>0</v>
      </c>
      <c r="BW9" s="14"/>
      <c r="BX9" s="14"/>
      <c r="BY9" s="14"/>
      <c r="BZ9" s="84"/>
      <c r="CA9" s="15">
        <f t="shared" si="12"/>
        <v>0</v>
      </c>
    </row>
    <row r="10" spans="1:246" hidden="1">
      <c r="A10" s="4" t="s">
        <v>42</v>
      </c>
      <c r="C10" s="14">
        <v>49</v>
      </c>
      <c r="D10" s="14">
        <v>92</v>
      </c>
      <c r="E10" s="14">
        <v>65</v>
      </c>
      <c r="F10" s="14">
        <v>60</v>
      </c>
      <c r="G10" s="15">
        <f t="shared" si="0"/>
        <v>266</v>
      </c>
      <c r="H10" s="16"/>
      <c r="I10" s="14">
        <v>53</v>
      </c>
      <c r="J10" s="14">
        <v>54</v>
      </c>
      <c r="K10" s="14">
        <v>57</v>
      </c>
      <c r="L10" s="14">
        <v>59</v>
      </c>
      <c r="M10" s="15">
        <f t="shared" si="1"/>
        <v>223</v>
      </c>
      <c r="O10" s="14">
        <v>76</v>
      </c>
      <c r="P10" s="14">
        <v>67</v>
      </c>
      <c r="Q10" s="14">
        <v>87</v>
      </c>
      <c r="R10" s="14">
        <v>75</v>
      </c>
      <c r="S10" s="15">
        <f t="shared" si="2"/>
        <v>305</v>
      </c>
      <c r="U10" s="14">
        <v>32</v>
      </c>
      <c r="V10" s="14">
        <v>49</v>
      </c>
      <c r="W10" s="14">
        <v>54</v>
      </c>
      <c r="X10" s="14">
        <v>62</v>
      </c>
      <c r="Y10" s="15">
        <f t="shared" si="3"/>
        <v>197</v>
      </c>
      <c r="AA10" s="14"/>
      <c r="AB10" s="14"/>
      <c r="AC10" s="14"/>
      <c r="AD10" s="14"/>
      <c r="AE10" s="15">
        <f t="shared" si="4"/>
        <v>0</v>
      </c>
      <c r="AG10" s="14"/>
      <c r="AH10" s="14"/>
      <c r="AI10" s="14"/>
      <c r="AJ10" s="14"/>
      <c r="AK10" s="15">
        <f t="shared" si="5"/>
        <v>0</v>
      </c>
      <c r="AM10" s="14"/>
      <c r="AN10" s="14"/>
      <c r="AO10" s="14"/>
      <c r="AP10" s="14"/>
      <c r="AQ10" s="15">
        <f t="shared" si="6"/>
        <v>0</v>
      </c>
      <c r="AS10" s="14"/>
      <c r="AT10" s="14"/>
      <c r="AU10" s="14"/>
      <c r="AV10" s="14"/>
      <c r="AW10" s="15">
        <f t="shared" si="7"/>
        <v>0</v>
      </c>
      <c r="AY10" s="14"/>
      <c r="AZ10" s="14"/>
      <c r="BA10" s="14"/>
      <c r="BB10" s="14"/>
      <c r="BC10" s="15">
        <f t="shared" si="8"/>
        <v>0</v>
      </c>
      <c r="BE10" s="14"/>
      <c r="BF10" s="14"/>
      <c r="BG10" s="14"/>
      <c r="BH10" s="84"/>
      <c r="BI10" s="15">
        <f t="shared" si="9"/>
        <v>0</v>
      </c>
      <c r="BK10" s="14"/>
      <c r="BL10" s="14"/>
      <c r="BM10" s="14"/>
      <c r="BN10" s="84"/>
      <c r="BO10" s="15">
        <f t="shared" si="10"/>
        <v>0</v>
      </c>
      <c r="BQ10" s="14"/>
      <c r="BR10" s="14"/>
      <c r="BS10" s="14"/>
      <c r="BT10" s="84"/>
      <c r="BU10" s="15">
        <f t="shared" si="11"/>
        <v>0</v>
      </c>
      <c r="BW10" s="14"/>
      <c r="BX10" s="14"/>
      <c r="BY10" s="14"/>
      <c r="BZ10" s="84"/>
      <c r="CA10" s="15">
        <f t="shared" si="12"/>
        <v>0</v>
      </c>
    </row>
    <row r="11" spans="1:246">
      <c r="A11" s="4" t="s">
        <v>159</v>
      </c>
      <c r="C11" s="14">
        <v>34</v>
      </c>
      <c r="D11" s="14">
        <v>46</v>
      </c>
      <c r="E11" s="14">
        <v>39</v>
      </c>
      <c r="F11" s="14">
        <v>23</v>
      </c>
      <c r="G11" s="15">
        <f t="shared" si="0"/>
        <v>142</v>
      </c>
      <c r="H11" s="16"/>
      <c r="I11" s="14">
        <v>11</v>
      </c>
      <c r="J11" s="14">
        <v>23</v>
      </c>
      <c r="K11" s="14">
        <v>23</v>
      </c>
      <c r="L11" s="14">
        <v>22</v>
      </c>
      <c r="M11" s="15">
        <f t="shared" si="1"/>
        <v>79</v>
      </c>
      <c r="O11" s="14">
        <v>17</v>
      </c>
      <c r="P11" s="14">
        <v>18</v>
      </c>
      <c r="Q11" s="14">
        <v>16</v>
      </c>
      <c r="R11" s="14">
        <v>19</v>
      </c>
      <c r="S11" s="15">
        <f t="shared" si="2"/>
        <v>70</v>
      </c>
      <c r="U11" s="14">
        <v>19</v>
      </c>
      <c r="V11" s="14">
        <v>19</v>
      </c>
      <c r="W11" s="14">
        <v>22</v>
      </c>
      <c r="X11" s="14">
        <v>21</v>
      </c>
      <c r="Y11" s="15">
        <f t="shared" si="3"/>
        <v>81</v>
      </c>
      <c r="AA11" s="14">
        <v>19</v>
      </c>
      <c r="AB11" s="14">
        <v>19</v>
      </c>
      <c r="AC11" s="14">
        <v>22</v>
      </c>
      <c r="AD11" s="14">
        <v>21</v>
      </c>
      <c r="AE11" s="15">
        <f t="shared" si="4"/>
        <v>81</v>
      </c>
      <c r="AG11" s="14">
        <v>25</v>
      </c>
      <c r="AH11" s="14">
        <v>29</v>
      </c>
      <c r="AI11" s="14">
        <v>27</v>
      </c>
      <c r="AJ11" s="14">
        <v>23</v>
      </c>
      <c r="AK11" s="15">
        <f t="shared" si="5"/>
        <v>104</v>
      </c>
      <c r="AM11" s="14">
        <v>23</v>
      </c>
      <c r="AN11" s="14">
        <v>22</v>
      </c>
      <c r="AO11" s="14">
        <v>18</v>
      </c>
      <c r="AP11" s="14">
        <v>32</v>
      </c>
      <c r="AQ11" s="15">
        <f t="shared" si="6"/>
        <v>95</v>
      </c>
      <c r="AS11" s="14">
        <v>20</v>
      </c>
      <c r="AT11" s="14">
        <v>31</v>
      </c>
      <c r="AU11" s="14">
        <v>29</v>
      </c>
      <c r="AV11" s="14">
        <v>32</v>
      </c>
      <c r="AW11" s="15">
        <f t="shared" si="7"/>
        <v>112</v>
      </c>
      <c r="AY11" s="14">
        <v>24</v>
      </c>
      <c r="AZ11" s="14">
        <v>53</v>
      </c>
      <c r="BA11" s="14">
        <v>47</v>
      </c>
      <c r="BB11" s="14">
        <f>171-124</f>
        <v>47</v>
      </c>
      <c r="BC11" s="15">
        <f t="shared" si="8"/>
        <v>171</v>
      </c>
      <c r="BE11" s="14">
        <v>46</v>
      </c>
      <c r="BF11" s="14">
        <v>37</v>
      </c>
      <c r="BG11" s="14">
        <v>35</v>
      </c>
      <c r="BH11" s="84">
        <v>42</v>
      </c>
      <c r="BI11" s="15">
        <f t="shared" si="9"/>
        <v>160</v>
      </c>
      <c r="BK11" s="14">
        <v>39</v>
      </c>
      <c r="BL11" s="14">
        <v>48</v>
      </c>
      <c r="BM11" s="14">
        <v>45</v>
      </c>
      <c r="BN11" s="84">
        <v>53</v>
      </c>
      <c r="BO11" s="15">
        <f t="shared" si="10"/>
        <v>185</v>
      </c>
      <c r="BQ11" s="14">
        <v>43</v>
      </c>
      <c r="BR11" s="14">
        <v>50</v>
      </c>
      <c r="BS11" s="14">
        <v>55</v>
      </c>
      <c r="BT11" s="84">
        <v>62</v>
      </c>
      <c r="BU11" s="15">
        <f t="shared" si="11"/>
        <v>210</v>
      </c>
      <c r="BW11" s="14">
        <v>59</v>
      </c>
      <c r="BX11" s="14">
        <v>52</v>
      </c>
      <c r="BY11" s="14"/>
      <c r="BZ11" s="84"/>
      <c r="CA11" s="15">
        <f t="shared" si="12"/>
        <v>111</v>
      </c>
    </row>
    <row r="12" spans="1:246" hidden="1">
      <c r="A12" s="4" t="s">
        <v>50</v>
      </c>
      <c r="C12" s="14">
        <v>13</v>
      </c>
      <c r="D12" s="14">
        <v>16</v>
      </c>
      <c r="E12" s="14">
        <v>17</v>
      </c>
      <c r="F12" s="14">
        <v>20</v>
      </c>
      <c r="G12" s="15">
        <f t="shared" si="0"/>
        <v>66</v>
      </c>
      <c r="H12" s="16"/>
      <c r="I12" s="14">
        <v>6</v>
      </c>
      <c r="J12" s="14">
        <v>3</v>
      </c>
      <c r="K12" s="14">
        <v>3</v>
      </c>
      <c r="L12" s="14">
        <v>4</v>
      </c>
      <c r="M12" s="15">
        <f t="shared" si="1"/>
        <v>16</v>
      </c>
      <c r="O12" s="14">
        <v>3</v>
      </c>
      <c r="P12" s="14">
        <v>1</v>
      </c>
      <c r="Q12" s="14">
        <v>1</v>
      </c>
      <c r="R12" s="14">
        <v>1</v>
      </c>
      <c r="S12" s="15">
        <f t="shared" si="2"/>
        <v>6</v>
      </c>
      <c r="U12" s="14">
        <v>0</v>
      </c>
      <c r="V12" s="14">
        <v>0</v>
      </c>
      <c r="W12" s="14">
        <v>0</v>
      </c>
      <c r="X12" s="14">
        <v>0</v>
      </c>
      <c r="Y12" s="15">
        <f t="shared" si="3"/>
        <v>0</v>
      </c>
      <c r="AA12" s="14"/>
      <c r="AB12" s="14"/>
      <c r="AC12" s="14"/>
      <c r="AD12" s="14"/>
      <c r="AE12" s="15">
        <f t="shared" si="4"/>
        <v>0</v>
      </c>
      <c r="AG12" s="14"/>
      <c r="AH12" s="14"/>
      <c r="AI12" s="14"/>
      <c r="AJ12" s="14"/>
      <c r="AK12" s="15">
        <f t="shared" si="5"/>
        <v>0</v>
      </c>
      <c r="AM12" s="14"/>
      <c r="AN12" s="14"/>
      <c r="AO12" s="14"/>
      <c r="AP12" s="14"/>
      <c r="AQ12" s="15">
        <f t="shared" si="6"/>
        <v>0</v>
      </c>
      <c r="AS12" s="14"/>
      <c r="AT12" s="14"/>
      <c r="AU12" s="14"/>
      <c r="AV12" s="14"/>
      <c r="AW12" s="15">
        <f t="shared" si="7"/>
        <v>0</v>
      </c>
      <c r="AY12" s="14"/>
      <c r="AZ12" s="14"/>
      <c r="BA12" s="14"/>
      <c r="BB12" s="14"/>
      <c r="BC12" s="15">
        <f t="shared" si="8"/>
        <v>0</v>
      </c>
      <c r="BE12" s="14"/>
      <c r="BF12" s="14"/>
      <c r="BG12" s="14"/>
      <c r="BH12" s="84"/>
      <c r="BI12" s="15">
        <f t="shared" si="9"/>
        <v>0</v>
      </c>
      <c r="BK12" s="14"/>
      <c r="BL12" s="14"/>
      <c r="BM12" s="14"/>
      <c r="BN12" s="84"/>
      <c r="BO12" s="15">
        <f t="shared" si="10"/>
        <v>0</v>
      </c>
      <c r="BQ12" s="14"/>
      <c r="BR12" s="14"/>
      <c r="BS12" s="14"/>
      <c r="BT12" s="84"/>
      <c r="BU12" s="15">
        <f t="shared" si="11"/>
        <v>0</v>
      </c>
      <c r="BW12" s="14"/>
      <c r="BX12" s="14"/>
      <c r="BY12" s="14"/>
      <c r="BZ12" s="84"/>
      <c r="CA12" s="15">
        <f t="shared" si="12"/>
        <v>0</v>
      </c>
    </row>
    <row r="13" spans="1:246">
      <c r="A13" s="4" t="s">
        <v>121</v>
      </c>
      <c r="C13" s="14">
        <v>-20</v>
      </c>
      <c r="D13" s="14">
        <v>-18</v>
      </c>
      <c r="E13" s="14">
        <v>-17</v>
      </c>
      <c r="F13" s="14">
        <v>-14</v>
      </c>
      <c r="G13" s="15">
        <f t="shared" si="0"/>
        <v>-69</v>
      </c>
      <c r="H13" s="16"/>
      <c r="I13" s="14">
        <v>-11</v>
      </c>
      <c r="J13" s="14">
        <v>-18</v>
      </c>
      <c r="K13" s="14">
        <v>-12</v>
      </c>
      <c r="L13" s="14">
        <v>-10</v>
      </c>
      <c r="M13" s="15">
        <f t="shared" si="1"/>
        <v>-51</v>
      </c>
      <c r="O13" s="14">
        <v>-9</v>
      </c>
      <c r="P13" s="14">
        <v>-7</v>
      </c>
      <c r="Q13" s="14">
        <v>-8</v>
      </c>
      <c r="R13" s="14">
        <v>-6</v>
      </c>
      <c r="S13" s="15">
        <f t="shared" si="2"/>
        <v>-30</v>
      </c>
      <c r="U13" s="14">
        <v>-8</v>
      </c>
      <c r="V13" s="14">
        <v>-7</v>
      </c>
      <c r="W13" s="14">
        <v>-4</v>
      </c>
      <c r="X13" s="14">
        <v>-1</v>
      </c>
      <c r="Y13" s="15">
        <f t="shared" si="3"/>
        <v>-20</v>
      </c>
      <c r="AA13" s="14">
        <v>-8</v>
      </c>
      <c r="AB13" s="14">
        <v>-7</v>
      </c>
      <c r="AC13" s="14">
        <v>-4</v>
      </c>
      <c r="AD13" s="14">
        <v>-1</v>
      </c>
      <c r="AE13" s="15">
        <f t="shared" si="4"/>
        <v>-20</v>
      </c>
      <c r="AG13" s="14"/>
      <c r="AH13" s="14">
        <v>-2</v>
      </c>
      <c r="AI13" s="14">
        <v>2</v>
      </c>
      <c r="AJ13" s="14">
        <v>0</v>
      </c>
      <c r="AK13" s="15">
        <f t="shared" si="5"/>
        <v>0</v>
      </c>
      <c r="AM13" s="14">
        <v>3</v>
      </c>
      <c r="AN13" s="14">
        <v>4</v>
      </c>
      <c r="AO13" s="14">
        <v>3</v>
      </c>
      <c r="AP13" s="14">
        <v>3</v>
      </c>
      <c r="AQ13" s="15">
        <f t="shared" si="6"/>
        <v>13</v>
      </c>
      <c r="AS13" s="14">
        <v>4</v>
      </c>
      <c r="AT13" s="14">
        <v>3</v>
      </c>
      <c r="AU13" s="14">
        <v>3</v>
      </c>
      <c r="AV13" s="14">
        <v>-5</v>
      </c>
      <c r="AW13" s="15">
        <f t="shared" si="7"/>
        <v>5</v>
      </c>
      <c r="AY13" s="14">
        <v>3</v>
      </c>
      <c r="AZ13" s="14">
        <v>2</v>
      </c>
      <c r="BA13" s="14">
        <v>4</v>
      </c>
      <c r="BB13" s="14">
        <v>0</v>
      </c>
      <c r="BC13" s="15">
        <f t="shared" si="8"/>
        <v>9</v>
      </c>
      <c r="BE13" s="14">
        <v>1</v>
      </c>
      <c r="BF13" s="14">
        <v>2</v>
      </c>
      <c r="BG13" s="14">
        <v>1</v>
      </c>
      <c r="BH13" s="84">
        <v>2</v>
      </c>
      <c r="BI13" s="15">
        <f t="shared" si="9"/>
        <v>6</v>
      </c>
      <c r="BK13" s="14">
        <v>1</v>
      </c>
      <c r="BL13" s="14">
        <v>-1</v>
      </c>
      <c r="BM13" s="14">
        <v>0</v>
      </c>
      <c r="BN13" s="84">
        <v>-1</v>
      </c>
      <c r="BO13" s="15">
        <f t="shared" si="10"/>
        <v>-1</v>
      </c>
      <c r="BQ13" s="14">
        <v>0</v>
      </c>
      <c r="BR13" s="14">
        <v>-1</v>
      </c>
      <c r="BS13" s="14">
        <v>0</v>
      </c>
      <c r="BT13" s="84">
        <v>0</v>
      </c>
      <c r="BU13" s="15">
        <f t="shared" si="11"/>
        <v>-1</v>
      </c>
      <c r="BW13" s="14">
        <v>-1</v>
      </c>
      <c r="BX13" s="14">
        <v>0</v>
      </c>
      <c r="BY13" s="14"/>
      <c r="BZ13" s="84"/>
      <c r="CA13" s="15">
        <f t="shared" si="12"/>
        <v>-1</v>
      </c>
    </row>
    <row r="14" spans="1:246" s="12" customFormat="1" ht="18.75" customHeight="1">
      <c r="B14" s="6"/>
      <c r="C14" s="17">
        <f>SUM(C5:C13)</f>
        <v>1538</v>
      </c>
      <c r="D14" s="17">
        <f>SUM(D5:D13)</f>
        <v>1682</v>
      </c>
      <c r="E14" s="17">
        <f>SUM(E5:E13)</f>
        <v>1621</v>
      </c>
      <c r="F14" s="17">
        <f>SUM(F5:F13)</f>
        <v>1585</v>
      </c>
      <c r="G14" s="18">
        <f>SUM(G5:G13)</f>
        <v>6426</v>
      </c>
      <c r="H14" s="16"/>
      <c r="I14" s="17">
        <f>SUM(I5:I13)</f>
        <v>1351</v>
      </c>
      <c r="J14" s="17">
        <f>SUM(J5:J13)</f>
        <v>1530</v>
      </c>
      <c r="K14" s="17">
        <f>SUM(K5:K13)</f>
        <v>1520</v>
      </c>
      <c r="L14" s="17">
        <f>SUM(L5:L13)</f>
        <v>1488</v>
      </c>
      <c r="M14" s="18">
        <f>SUM(M5:M13)</f>
        <v>5889</v>
      </c>
      <c r="O14" s="17">
        <f>SUM(O5:O13)</f>
        <v>1334</v>
      </c>
      <c r="P14" s="17">
        <f>SUM(P5:P13)</f>
        <v>1468</v>
      </c>
      <c r="Q14" s="17">
        <f>SUM(Q5:Q13)</f>
        <v>1532</v>
      </c>
      <c r="R14" s="17">
        <f>SUM(R5:R13)</f>
        <v>1490</v>
      </c>
      <c r="S14" s="18">
        <f>SUM(S5:S13)</f>
        <v>5824</v>
      </c>
      <c r="U14" s="17">
        <f>SUM(U5:U13)</f>
        <v>1430</v>
      </c>
      <c r="V14" s="17">
        <f>SUM(V5:V13)</f>
        <v>2000</v>
      </c>
      <c r="W14" s="17">
        <f>SUM(W5:W13)</f>
        <v>2136</v>
      </c>
      <c r="X14" s="17">
        <f>SUM(X5:X13)</f>
        <v>2159</v>
      </c>
      <c r="Y14" s="18">
        <f>SUM(Y5:Y13)</f>
        <v>7725</v>
      </c>
      <c r="AA14" s="17">
        <f>SUM(AA5:AA13)</f>
        <v>1304</v>
      </c>
      <c r="AB14" s="17">
        <f>SUM(AB5:AB13)</f>
        <v>1855</v>
      </c>
      <c r="AC14" s="17">
        <f>SUM(AC5:AC13)</f>
        <v>1977</v>
      </c>
      <c r="AD14" s="17">
        <f>SUM(AD5:AD13)</f>
        <v>2002</v>
      </c>
      <c r="AE14" s="18">
        <f>SUM(AE5:AE13)</f>
        <v>7138</v>
      </c>
      <c r="AG14" s="17">
        <f>SUM(AG5:AG13)</f>
        <v>1866</v>
      </c>
      <c r="AH14" s="17">
        <f>SUM(AH5:AH13)</f>
        <v>2292</v>
      </c>
      <c r="AI14" s="17">
        <f>SUM(AI5:AI13)</f>
        <v>2231</v>
      </c>
      <c r="AJ14" s="17">
        <f>SUM(AJ5:AJ13)</f>
        <v>2361</v>
      </c>
      <c r="AK14" s="18">
        <f>SUM(AK5:AK13)</f>
        <v>8750</v>
      </c>
      <c r="AM14" s="17">
        <f>SUM(AM5:AM13)</f>
        <v>2412</v>
      </c>
      <c r="AN14" s="17">
        <f>SUM(AN5:AN13)</f>
        <v>2837</v>
      </c>
      <c r="AO14" s="17">
        <f>SUM(AO5:AO13)</f>
        <v>2703</v>
      </c>
      <c r="AP14" s="17">
        <f>SUM(AP5:AP13)</f>
        <v>2863</v>
      </c>
      <c r="AQ14" s="18">
        <f>SUM(AQ5:AQ13)</f>
        <v>10815</v>
      </c>
      <c r="AS14" s="17">
        <f>SUM(AS5:AS13)</f>
        <v>3130</v>
      </c>
      <c r="AT14" s="17">
        <f>SUM(AT5:AT13)</f>
        <v>3612</v>
      </c>
      <c r="AU14" s="17">
        <f>SUM(AU5:AU13)</f>
        <v>3356</v>
      </c>
      <c r="AV14" s="17">
        <f>SUM(AV5:AV13)</f>
        <v>3427</v>
      </c>
      <c r="AW14" s="18">
        <f>SUM(AW5:AW13)</f>
        <v>13525</v>
      </c>
      <c r="AY14" s="17">
        <f>SUM(AY5:AY13)</f>
        <v>3366</v>
      </c>
      <c r="AZ14" s="17">
        <f>SUM(AZ5:AZ13)</f>
        <v>3789</v>
      </c>
      <c r="BA14" s="17">
        <f>SUM(BA5:BA13)</f>
        <v>3528</v>
      </c>
      <c r="BB14" s="17">
        <f>SUM(BB5:BB13)</f>
        <v>3145</v>
      </c>
      <c r="BC14" s="18">
        <f>SUM(BC5:BC13)</f>
        <v>13828</v>
      </c>
      <c r="BE14" s="17">
        <f>SUM(BE5:BE13)</f>
        <v>2635</v>
      </c>
      <c r="BF14" s="17">
        <f>SUM(BF5:BF13)</f>
        <v>3144</v>
      </c>
      <c r="BG14" s="17">
        <f>SUM(BG5:BG13)</f>
        <v>2981</v>
      </c>
      <c r="BH14" s="17">
        <f>SUM(BH5:BH13)</f>
        <v>2927</v>
      </c>
      <c r="BI14" s="18">
        <f>SUM(BI5:BI13)</f>
        <v>11687</v>
      </c>
      <c r="BK14" s="17">
        <f>SUM(BK5:BK13)</f>
        <v>3062</v>
      </c>
      <c r="BL14" s="17">
        <f>SUM(BL5:BL13)</f>
        <v>3635</v>
      </c>
      <c r="BM14" s="17">
        <f>SUM(BM5:BM13)</f>
        <v>3725</v>
      </c>
      <c r="BN14" s="17">
        <f>SUM(BN5:BN13)</f>
        <v>4029</v>
      </c>
      <c r="BO14" s="18">
        <f>SUM(BO5:BO13)</f>
        <v>14451</v>
      </c>
      <c r="BQ14" s="17">
        <f>SUM(BQ5:BQ13)</f>
        <v>3774</v>
      </c>
      <c r="BR14" s="17">
        <f>SUM(BR5:BR13)</f>
        <v>4016</v>
      </c>
      <c r="BS14" s="17">
        <f>SUM(BS5:BS13)</f>
        <v>3912</v>
      </c>
      <c r="BT14" s="17">
        <f>SUM(BT5:BT13)</f>
        <v>3902</v>
      </c>
      <c r="BU14" s="18">
        <f>SUM(BU5:BU13)</f>
        <v>15604</v>
      </c>
      <c r="BW14" s="17">
        <f>SUM(BW5:BW13)</f>
        <v>3531</v>
      </c>
      <c r="BX14" s="17">
        <f>SUM(BX5:BX13)</f>
        <v>3904</v>
      </c>
      <c r="BY14" s="17">
        <f>SUM(BY5:BY13)</f>
        <v>0</v>
      </c>
      <c r="BZ14" s="17">
        <f>SUM(BZ5:BZ13)</f>
        <v>0</v>
      </c>
      <c r="CA14" s="18">
        <f>SUM(CA5:CA13)</f>
        <v>7435</v>
      </c>
      <c r="IL14" s="13"/>
    </row>
    <row r="15" spans="1:246" s="12" customFormat="1" ht="18.75" customHeight="1">
      <c r="B15" s="6"/>
      <c r="C15" s="47"/>
      <c r="D15" s="47"/>
      <c r="E15" s="47"/>
      <c r="F15" s="47"/>
      <c r="G15" s="59"/>
      <c r="H15" s="16"/>
      <c r="I15" s="47"/>
      <c r="J15" s="47"/>
      <c r="K15" s="47"/>
      <c r="L15" s="47"/>
      <c r="M15" s="59"/>
      <c r="O15" s="47"/>
      <c r="P15" s="47"/>
      <c r="Q15" s="47"/>
      <c r="R15" s="47"/>
      <c r="S15" s="59"/>
      <c r="U15" s="47"/>
      <c r="V15" s="47"/>
      <c r="W15" s="47"/>
      <c r="X15" s="47"/>
      <c r="Y15" s="59"/>
      <c r="AA15" s="47"/>
      <c r="AB15" s="47"/>
      <c r="AC15" s="47"/>
      <c r="AD15" s="47"/>
      <c r="AE15" s="59"/>
      <c r="AG15" s="47"/>
      <c r="AH15" s="47"/>
      <c r="AI15" s="47"/>
      <c r="AJ15" s="47"/>
      <c r="AK15" s="59"/>
      <c r="AM15" s="47"/>
      <c r="AN15" s="47"/>
      <c r="AO15" s="47"/>
      <c r="AP15" s="47"/>
      <c r="AQ15" s="59"/>
      <c r="AS15" s="47"/>
      <c r="AT15" s="47"/>
      <c r="AU15" s="47"/>
      <c r="AV15" s="47"/>
      <c r="AW15" s="59"/>
      <c r="AY15" s="47"/>
      <c r="AZ15" s="47"/>
      <c r="BA15" s="47"/>
      <c r="BB15" s="47"/>
      <c r="BC15" s="59"/>
      <c r="BE15" s="47"/>
      <c r="BF15" s="47"/>
      <c r="BG15" s="47"/>
      <c r="BH15" s="47"/>
      <c r="BI15" s="59"/>
      <c r="BK15" s="47"/>
      <c r="BL15" s="47"/>
      <c r="BM15" s="47"/>
      <c r="BN15" s="47"/>
      <c r="BO15" s="59"/>
      <c r="BQ15" s="47"/>
      <c r="BR15" s="47"/>
      <c r="BS15" s="47"/>
      <c r="BT15" s="47"/>
      <c r="BU15" s="59"/>
      <c r="BW15" s="47"/>
      <c r="BX15" s="47"/>
      <c r="BY15" s="47"/>
      <c r="BZ15" s="47"/>
      <c r="CA15" s="59"/>
      <c r="IL15" s="36"/>
    </row>
    <row r="16" spans="1:246" s="12" customFormat="1" ht="18.75" customHeight="1">
      <c r="A16" s="4" t="s">
        <v>160</v>
      </c>
      <c r="B16" s="6"/>
      <c r="C16" s="47"/>
      <c r="D16" s="47"/>
      <c r="E16" s="47"/>
      <c r="F16" s="47"/>
      <c r="G16" s="59"/>
      <c r="H16" s="16"/>
      <c r="I16" s="47"/>
      <c r="J16" s="47"/>
      <c r="K16" s="47"/>
      <c r="L16" s="47"/>
      <c r="M16" s="59"/>
      <c r="O16" s="48">
        <f>14+550</f>
        <v>564</v>
      </c>
      <c r="P16" s="48">
        <v>696</v>
      </c>
      <c r="Q16" s="48">
        <v>770</v>
      </c>
      <c r="R16" s="48">
        <v>704</v>
      </c>
      <c r="S16" s="60">
        <f>SUM(O16:R16)</f>
        <v>2734</v>
      </c>
      <c r="U16" s="47" t="s">
        <v>86</v>
      </c>
      <c r="V16" s="47" t="s">
        <v>86</v>
      </c>
      <c r="W16" s="47" t="s">
        <v>86</v>
      </c>
      <c r="X16" s="47" t="s">
        <v>86</v>
      </c>
      <c r="Y16" s="15" t="s">
        <v>86</v>
      </c>
      <c r="AA16" s="48">
        <f>13+614</f>
        <v>627</v>
      </c>
      <c r="AB16" s="48">
        <f>20+714</f>
        <v>734</v>
      </c>
      <c r="AC16" s="48">
        <f>22+801</f>
        <v>823</v>
      </c>
      <c r="AD16" s="48">
        <f>11+797</f>
        <v>808</v>
      </c>
      <c r="AE16" s="60">
        <f>SUM(AA16:AD16)</f>
        <v>2992</v>
      </c>
      <c r="AF16" s="4"/>
      <c r="AG16" s="48">
        <f>8+559</f>
        <v>567</v>
      </c>
      <c r="AH16" s="48">
        <f>8+734</f>
        <v>742</v>
      </c>
      <c r="AI16" s="48">
        <f>19+781</f>
        <v>800</v>
      </c>
      <c r="AJ16" s="48">
        <f>18+832</f>
        <v>850</v>
      </c>
      <c r="AK16" s="60">
        <f>SUM(AG16:AJ16)</f>
        <v>2959</v>
      </c>
      <c r="AL16" s="4"/>
      <c r="AM16" s="48">
        <f>18+752</f>
        <v>770</v>
      </c>
      <c r="AN16" s="48">
        <f>18+876</f>
        <v>894</v>
      </c>
      <c r="AO16" s="48">
        <f>25+840</f>
        <v>865</v>
      </c>
      <c r="AP16" s="48">
        <f>31+893</f>
        <v>924</v>
      </c>
      <c r="AQ16" s="60">
        <f>SUM(AM16:AP16)</f>
        <v>3453</v>
      </c>
      <c r="AR16" s="4"/>
      <c r="AS16" s="48">
        <f>26+1057</f>
        <v>1083</v>
      </c>
      <c r="AT16" s="48">
        <f>20+1285</f>
        <v>1305</v>
      </c>
      <c r="AU16" s="48">
        <f>33+1207</f>
        <v>1240</v>
      </c>
      <c r="AV16" s="48">
        <f>1247+22</f>
        <v>1269</v>
      </c>
      <c r="AW16" s="60">
        <f>SUM(AS16:AV16)</f>
        <v>4897</v>
      </c>
      <c r="AY16" s="48">
        <v>1189</v>
      </c>
      <c r="AZ16" s="55">
        <v>1389</v>
      </c>
      <c r="BA16" s="73">
        <v>1337</v>
      </c>
      <c r="BB16" s="48">
        <v>1296</v>
      </c>
      <c r="BC16" s="15">
        <f>SUM(AY16:BB16)</f>
        <v>5211</v>
      </c>
      <c r="BE16" s="48">
        <v>978</v>
      </c>
      <c r="BF16" s="55">
        <v>1328</v>
      </c>
      <c r="BG16" s="73">
        <v>1185</v>
      </c>
      <c r="BH16" s="89">
        <v>1155</v>
      </c>
      <c r="BI16" s="15">
        <f>SUM(BE16:BH16)</f>
        <v>4646</v>
      </c>
      <c r="BK16" s="48">
        <v>1036</v>
      </c>
      <c r="BL16" s="55">
        <v>1374</v>
      </c>
      <c r="BM16" s="73">
        <v>1526</v>
      </c>
      <c r="BN16" s="89">
        <v>1611</v>
      </c>
      <c r="BO16" s="15">
        <f>SUM(BK16:BN16)</f>
        <v>5547</v>
      </c>
      <c r="BQ16" s="48">
        <v>1268</v>
      </c>
      <c r="BR16" s="55">
        <v>1377</v>
      </c>
      <c r="BS16" s="73">
        <v>1471</v>
      </c>
      <c r="BT16" s="89">
        <v>1519</v>
      </c>
      <c r="BU16" s="15">
        <f>SUM(BQ16:BT16)</f>
        <v>5635</v>
      </c>
      <c r="BW16" s="48">
        <v>1112</v>
      </c>
      <c r="BX16" s="55">
        <v>1334</v>
      </c>
      <c r="BY16" s="73"/>
      <c r="BZ16" s="89"/>
      <c r="CA16" s="15">
        <f>SUM(BW16:BZ16)</f>
        <v>2446</v>
      </c>
      <c r="IL16" s="36"/>
    </row>
    <row r="17" spans="1:251" s="6" customFormat="1" ht="18.75" customHeight="1">
      <c r="A17" s="6" t="s">
        <v>113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O17" s="61">
        <f>+O14-O7+O16</f>
        <v>1339</v>
      </c>
      <c r="P17" s="61">
        <f>+P14-P7+P16</f>
        <v>1476</v>
      </c>
      <c r="Q17" s="61">
        <f>+Q14-Q7+Q16</f>
        <v>1535</v>
      </c>
      <c r="R17" s="61">
        <f>+R14-R7+R16</f>
        <v>1490</v>
      </c>
      <c r="S17" s="61">
        <f>+S14-S7+S16</f>
        <v>5840</v>
      </c>
      <c r="U17" s="16"/>
      <c r="V17" s="16"/>
      <c r="W17" s="16"/>
      <c r="X17" s="16"/>
      <c r="Y17" s="16"/>
      <c r="AA17" s="61">
        <f>+AA14-AA7+AA16</f>
        <v>1353</v>
      </c>
      <c r="AB17" s="61">
        <f>+AB14-AB7+AB16</f>
        <v>1861</v>
      </c>
      <c r="AC17" s="61">
        <f>+AC14-AC7+AC16</f>
        <v>1993</v>
      </c>
      <c r="AD17" s="61">
        <f>+AD14-AD7+AD16</f>
        <v>1989</v>
      </c>
      <c r="AE17" s="61">
        <f>+AE14-AE7+AE16</f>
        <v>7196</v>
      </c>
      <c r="AF17" s="62"/>
      <c r="AG17" s="61">
        <f>+AG14-AG7+AG16</f>
        <v>1789</v>
      </c>
      <c r="AH17" s="61">
        <f>+AH14-AH7+AH16</f>
        <v>2164</v>
      </c>
      <c r="AI17" s="61">
        <f>+AI14-AI7+AI16</f>
        <v>2077</v>
      </c>
      <c r="AJ17" s="61">
        <f>+AJ14-AJ7+AJ16</f>
        <v>2150</v>
      </c>
      <c r="AK17" s="61">
        <f>+AK14-AK7+AK16</f>
        <v>8180</v>
      </c>
      <c r="AL17" s="62"/>
      <c r="AM17" s="61">
        <f>+AM14-AM7+AM16</f>
        <v>2149</v>
      </c>
      <c r="AN17" s="61">
        <f>+AN14-AN7+AN16</f>
        <v>2358</v>
      </c>
      <c r="AO17" s="61">
        <f>+AO14-AO7+AO16</f>
        <v>2178</v>
      </c>
      <c r="AP17" s="61">
        <f>+AP14-AP7+AP16</f>
        <v>2315</v>
      </c>
      <c r="AQ17" s="61">
        <f>+AQ14-AQ7+AQ16</f>
        <v>9000</v>
      </c>
      <c r="AR17" s="62"/>
      <c r="AS17" s="61">
        <f>+AS14-AS7+AS16</f>
        <v>2539</v>
      </c>
      <c r="AT17" s="61">
        <f>+AT14-AT7+AT16</f>
        <v>2869</v>
      </c>
      <c r="AU17" s="61">
        <f>+AU14-AU7+AU16</f>
        <v>2619</v>
      </c>
      <c r="AV17" s="61">
        <f>+AV14-AV7+AV16</f>
        <v>2771</v>
      </c>
      <c r="AW17" s="61">
        <f>+AW14-AW7+AW16</f>
        <v>10798</v>
      </c>
      <c r="AY17" s="61">
        <f>+AY14-AY7+AY16</f>
        <v>2699</v>
      </c>
      <c r="AZ17" s="61">
        <f>+AZ14-AZ7+AZ16</f>
        <v>3081</v>
      </c>
      <c r="BA17" s="61">
        <f>+BA14-BA7+BA16</f>
        <v>2814</v>
      </c>
      <c r="BB17" s="61">
        <f>+BB14-BB7+BB16</f>
        <v>2679</v>
      </c>
      <c r="BC17" s="61">
        <f>+AY17+AZ17+BA17+BB17</f>
        <v>11273</v>
      </c>
      <c r="BE17" s="61">
        <f>+BE14-BE7+BE16</f>
        <v>2343</v>
      </c>
      <c r="BF17" s="61">
        <f>+BF14-BF7+BF16</f>
        <v>2691</v>
      </c>
      <c r="BG17" s="61">
        <f>+BG14-BG7+BG16</f>
        <v>2463</v>
      </c>
      <c r="BH17" s="90">
        <f>+BH14-BH7+BH16</f>
        <v>2453</v>
      </c>
      <c r="BI17" s="61">
        <f>+BE17+BF17+BG17+BH17</f>
        <v>9950</v>
      </c>
      <c r="BK17" s="61">
        <f>+BK14-BK7+BK16</f>
        <v>2494</v>
      </c>
      <c r="BL17" s="61">
        <f>+BL14-BL7+BL16</f>
        <v>2953</v>
      </c>
      <c r="BM17" s="61">
        <f>+BM14-BM7+BM16</f>
        <v>2943</v>
      </c>
      <c r="BN17" s="90">
        <f>+BN14-BN7+BN16</f>
        <v>3088</v>
      </c>
      <c r="BO17" s="61">
        <f>+BK17+BL17+BM17+BN17</f>
        <v>11478</v>
      </c>
      <c r="BQ17" s="61">
        <f>+BQ14-BQ7+BQ16</f>
        <v>2863</v>
      </c>
      <c r="BR17" s="61">
        <f>+BR14-BR7+BR16</f>
        <v>3077</v>
      </c>
      <c r="BS17" s="61">
        <f>+BS14-BS7+BS16</f>
        <v>3027</v>
      </c>
      <c r="BT17" s="90">
        <f>+BT14-BT7+BT16</f>
        <v>3184</v>
      </c>
      <c r="BU17" s="61">
        <f>+BQ17+BR17+BS17+BT17</f>
        <v>12151</v>
      </c>
      <c r="BW17" s="61">
        <f>+BW14-BW7+BW16</f>
        <v>2806</v>
      </c>
      <c r="BX17" s="61">
        <f>+BX14-BX7+BX16</f>
        <v>3079</v>
      </c>
      <c r="BY17" s="61">
        <f>+BY14-BY7+BY16</f>
        <v>0</v>
      </c>
      <c r="BZ17" s="90">
        <f>+BZ14-BZ7+BZ16</f>
        <v>0</v>
      </c>
      <c r="CA17" s="61">
        <f>+BW17+BX17+BY17+BZ17</f>
        <v>5885</v>
      </c>
      <c r="IL17" s="3"/>
      <c r="IQ17" s="16" t="s">
        <v>86</v>
      </c>
    </row>
    <row r="18" spans="1:251" s="6" customFormat="1" ht="18.75" customHeight="1"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O18" s="16"/>
      <c r="P18" s="16"/>
      <c r="Q18" s="16"/>
      <c r="R18" s="16"/>
      <c r="S18" s="16"/>
      <c r="U18" s="16"/>
      <c r="V18" s="16"/>
      <c r="W18" s="16"/>
      <c r="X18" s="16"/>
      <c r="Y18" s="16"/>
      <c r="AA18" s="16"/>
      <c r="AB18" s="16"/>
      <c r="AC18" s="16"/>
      <c r="AD18" s="16"/>
      <c r="AE18" s="16"/>
      <c r="AG18" s="16"/>
      <c r="AH18" s="16"/>
      <c r="AI18" s="16"/>
      <c r="AJ18" s="16"/>
      <c r="AK18" s="16"/>
      <c r="AM18" s="16"/>
      <c r="AN18" s="16"/>
      <c r="AO18" s="16"/>
      <c r="AP18" s="16"/>
      <c r="AQ18" s="16"/>
      <c r="AS18" s="16"/>
      <c r="AT18" s="16"/>
      <c r="AU18" s="16"/>
      <c r="AV18" s="16"/>
      <c r="AW18" s="16"/>
      <c r="AY18" s="16"/>
      <c r="AZ18" s="16"/>
      <c r="BA18" s="16"/>
      <c r="BB18" s="16"/>
      <c r="BC18" s="16"/>
      <c r="BE18" s="16"/>
      <c r="BF18" s="16"/>
      <c r="BG18" s="16"/>
      <c r="BH18" s="98"/>
      <c r="BI18" s="16"/>
      <c r="BK18" s="16"/>
      <c r="BL18" s="16"/>
      <c r="BM18" s="16"/>
      <c r="BN18" s="98"/>
      <c r="BO18" s="16"/>
      <c r="BQ18" s="16"/>
      <c r="BR18" s="16"/>
      <c r="BS18" s="16"/>
      <c r="BT18" s="98"/>
      <c r="BU18" s="16"/>
      <c r="BW18" s="16"/>
      <c r="BX18" s="16"/>
      <c r="BY18" s="16"/>
      <c r="BZ18" s="98"/>
      <c r="CA18" s="16"/>
      <c r="IL18" s="3"/>
    </row>
    <row r="19" spans="1:251">
      <c r="C19" s="14"/>
      <c r="D19" s="14"/>
      <c r="E19" s="14"/>
      <c r="F19" s="14"/>
      <c r="G19" s="19"/>
      <c r="H19" s="16"/>
      <c r="I19" s="14"/>
      <c r="J19" s="14"/>
      <c r="K19" s="14"/>
      <c r="L19" s="14"/>
      <c r="M19" s="19"/>
      <c r="O19" s="14"/>
      <c r="P19" s="14"/>
      <c r="Q19" s="14"/>
      <c r="R19" s="14"/>
      <c r="S19" s="19"/>
      <c r="U19" s="14"/>
      <c r="V19" s="14"/>
      <c r="W19" s="14"/>
      <c r="X19" s="14"/>
      <c r="Y19" s="19"/>
      <c r="AA19" s="14"/>
      <c r="AB19" s="14"/>
      <c r="AC19" s="14"/>
      <c r="AD19" s="14"/>
      <c r="AE19" s="19"/>
      <c r="AG19" s="14"/>
      <c r="AH19" s="14"/>
      <c r="AI19" s="14"/>
      <c r="AJ19" s="14"/>
      <c r="AK19" s="19"/>
      <c r="AM19" s="14"/>
      <c r="AN19" s="14"/>
      <c r="AO19" s="14"/>
      <c r="AP19" s="14"/>
      <c r="AQ19" s="19"/>
      <c r="AS19" s="14"/>
      <c r="AT19" s="14"/>
      <c r="AU19" s="14"/>
      <c r="AV19" s="14"/>
      <c r="AW19" s="19"/>
      <c r="AY19" s="14"/>
      <c r="AZ19" s="14"/>
      <c r="BA19" s="14"/>
      <c r="BB19" s="14"/>
      <c r="BC19" s="19"/>
      <c r="BE19" s="14"/>
      <c r="BF19" s="14"/>
      <c r="BG19" s="14"/>
      <c r="BH19" s="84"/>
      <c r="BI19" s="19"/>
      <c r="BK19" s="14"/>
      <c r="BL19" s="14"/>
      <c r="BM19" s="14"/>
      <c r="BN19" s="84"/>
      <c r="BO19" s="19"/>
      <c r="BQ19" s="14"/>
      <c r="BR19" s="14"/>
      <c r="BS19" s="14"/>
      <c r="BT19" s="84"/>
      <c r="BU19" s="19"/>
      <c r="BW19" s="14"/>
      <c r="BX19" s="14"/>
      <c r="BY19" s="14"/>
      <c r="BZ19" s="84"/>
      <c r="CA19" s="19"/>
    </row>
    <row r="20" spans="1:251">
      <c r="A20" s="11" t="s">
        <v>1</v>
      </c>
      <c r="C20" s="14"/>
      <c r="D20" s="14"/>
      <c r="E20" s="14"/>
      <c r="F20" s="14"/>
      <c r="G20" s="15"/>
      <c r="H20" s="16"/>
      <c r="I20" s="14"/>
      <c r="J20" s="14"/>
      <c r="K20" s="14"/>
      <c r="L20" s="14"/>
      <c r="M20" s="15"/>
      <c r="O20" s="14"/>
      <c r="P20" s="14"/>
      <c r="Q20" s="14"/>
      <c r="R20" s="14"/>
      <c r="S20" s="15"/>
      <c r="U20" s="14"/>
      <c r="V20" s="14"/>
      <c r="W20" s="14"/>
      <c r="X20" s="14"/>
      <c r="Y20" s="15"/>
      <c r="AA20" s="14"/>
      <c r="AB20" s="14"/>
      <c r="AC20" s="14"/>
      <c r="AD20" s="14"/>
      <c r="AE20" s="15"/>
      <c r="AG20" s="14"/>
      <c r="AH20" s="14"/>
      <c r="AI20" s="14"/>
      <c r="AJ20" s="14"/>
      <c r="AK20" s="15"/>
      <c r="AM20" s="14"/>
      <c r="AN20" s="14"/>
      <c r="AO20" s="14"/>
      <c r="AP20" s="14"/>
      <c r="AQ20" s="15"/>
      <c r="AS20" s="14"/>
      <c r="AT20" s="14"/>
      <c r="AU20" s="14"/>
      <c r="AV20" s="14"/>
      <c r="AW20" s="15"/>
      <c r="AY20" s="14"/>
      <c r="AZ20" s="14"/>
      <c r="BA20" s="14"/>
      <c r="BB20" s="14"/>
      <c r="BC20" s="15"/>
      <c r="BE20" s="14"/>
      <c r="BF20" s="14"/>
      <c r="BG20" s="14"/>
      <c r="BH20" s="84"/>
      <c r="BI20" s="15"/>
      <c r="BK20" s="14"/>
      <c r="BL20" s="14"/>
      <c r="BM20" s="14"/>
      <c r="BN20" s="84"/>
      <c r="BO20" s="15"/>
      <c r="BQ20" s="14"/>
      <c r="BR20" s="14"/>
      <c r="BS20" s="14"/>
      <c r="BT20" s="84"/>
      <c r="BU20" s="15"/>
      <c r="BW20" s="14"/>
      <c r="BX20" s="14"/>
      <c r="BY20" s="14"/>
      <c r="BZ20" s="84"/>
      <c r="CA20" s="15"/>
    </row>
    <row r="21" spans="1:251">
      <c r="A21" s="4" t="s">
        <v>161</v>
      </c>
      <c r="C21" s="14">
        <v>11</v>
      </c>
      <c r="D21" s="14">
        <v>145</v>
      </c>
      <c r="E21" s="14">
        <v>43</v>
      </c>
      <c r="F21" s="14">
        <v>53</v>
      </c>
      <c r="G21" s="15">
        <f>SUM(C21:F21)</f>
        <v>252</v>
      </c>
      <c r="H21" s="16"/>
      <c r="I21" s="14">
        <v>-4</v>
      </c>
      <c r="J21" s="14">
        <v>50</v>
      </c>
      <c r="K21" s="14">
        <v>35</v>
      </c>
      <c r="L21" s="14">
        <v>-93</v>
      </c>
      <c r="M21" s="15">
        <f>SUM(I21:L21)</f>
        <v>-12</v>
      </c>
      <c r="O21" s="14">
        <v>18</v>
      </c>
      <c r="P21" s="14">
        <v>49</v>
      </c>
      <c r="Q21" s="14">
        <v>66</v>
      </c>
      <c r="R21" s="14">
        <v>33</v>
      </c>
      <c r="S21" s="15">
        <f>SUM(O21:R21)</f>
        <v>166</v>
      </c>
      <c r="U21" s="14">
        <v>22</v>
      </c>
      <c r="V21" s="14">
        <v>64</v>
      </c>
      <c r="W21" s="14">
        <v>70</v>
      </c>
      <c r="X21" s="14">
        <v>34</v>
      </c>
      <c r="Y21" s="15">
        <f>SUM(U21:X21)</f>
        <v>190</v>
      </c>
      <c r="AA21" s="14">
        <v>22</v>
      </c>
      <c r="AB21" s="14">
        <v>61</v>
      </c>
      <c r="AC21" s="14">
        <v>62</v>
      </c>
      <c r="AD21" s="14">
        <v>44</v>
      </c>
      <c r="AE21" s="15">
        <f>SUM(AA21:AD21)</f>
        <v>189</v>
      </c>
      <c r="AG21" s="14">
        <v>23</v>
      </c>
      <c r="AH21" s="14">
        <v>62</v>
      </c>
      <c r="AI21" s="14">
        <v>79</v>
      </c>
      <c r="AJ21" s="14">
        <v>78</v>
      </c>
      <c r="AK21" s="15">
        <f>SUM(AG21:AJ21)</f>
        <v>242</v>
      </c>
      <c r="AM21" s="14">
        <v>62</v>
      </c>
      <c r="AN21" s="14">
        <v>99</v>
      </c>
      <c r="AO21" s="14">
        <v>120</v>
      </c>
      <c r="AP21" s="14">
        <v>82</v>
      </c>
      <c r="AQ21" s="15">
        <f>SUM(AM21:AP21)</f>
        <v>363</v>
      </c>
      <c r="AS21" s="14">
        <v>106</v>
      </c>
      <c r="AT21" s="14">
        <v>195</v>
      </c>
      <c r="AU21" s="14">
        <v>187</v>
      </c>
      <c r="AV21" s="14">
        <v>231</v>
      </c>
      <c r="AW21" s="15">
        <f>SUM(AS21:AV21)</f>
        <v>719</v>
      </c>
      <c r="AY21" s="14">
        <v>123</v>
      </c>
      <c r="AZ21" s="14">
        <v>191</v>
      </c>
      <c r="BA21" s="14">
        <v>161</v>
      </c>
      <c r="BB21" s="14">
        <v>30</v>
      </c>
      <c r="BC21" s="15">
        <f>SUM(AY21:BB21)</f>
        <v>505</v>
      </c>
      <c r="BE21" s="14">
        <v>15</v>
      </c>
      <c r="BF21" s="14">
        <v>145</v>
      </c>
      <c r="BG21" s="14">
        <v>118</v>
      </c>
      <c r="BH21" s="84">
        <v>95</v>
      </c>
      <c r="BI21" s="15">
        <f>SUM(BE21:BH21)</f>
        <v>373</v>
      </c>
      <c r="BK21" s="14">
        <v>60</v>
      </c>
      <c r="BL21" s="14">
        <v>81</v>
      </c>
      <c r="BM21" s="14">
        <v>142</v>
      </c>
      <c r="BN21" s="84">
        <v>46</v>
      </c>
      <c r="BO21" s="15">
        <f>SUM(BK21:BN21)</f>
        <v>329</v>
      </c>
      <c r="BQ21" s="14">
        <v>29</v>
      </c>
      <c r="BR21" s="14">
        <v>9</v>
      </c>
      <c r="BS21" s="14">
        <v>71</v>
      </c>
      <c r="BT21" s="84">
        <v>73</v>
      </c>
      <c r="BU21" s="15">
        <f>SUM(BQ21:BT21)</f>
        <v>182</v>
      </c>
      <c r="BW21" s="14">
        <v>40</v>
      </c>
      <c r="BX21" s="14">
        <v>45</v>
      </c>
      <c r="BY21" s="14"/>
      <c r="BZ21" s="84"/>
      <c r="CA21" s="15">
        <f>SUM(BW21:BZ21)</f>
        <v>85</v>
      </c>
    </row>
    <row r="22" spans="1:251">
      <c r="A22" s="4" t="s">
        <v>40</v>
      </c>
      <c r="C22" s="14">
        <v>45</v>
      </c>
      <c r="D22" s="14">
        <v>28</v>
      </c>
      <c r="E22" s="14">
        <v>26</v>
      </c>
      <c r="F22" s="14">
        <v>33</v>
      </c>
      <c r="G22" s="15">
        <f t="shared" ref="G22:G27" si="13">SUM(C22:F22)</f>
        <v>132</v>
      </c>
      <c r="H22" s="16"/>
      <c r="I22" s="14">
        <v>38</v>
      </c>
      <c r="J22" s="14">
        <v>60</v>
      </c>
      <c r="K22" s="14">
        <v>56</v>
      </c>
      <c r="L22" s="14">
        <v>60</v>
      </c>
      <c r="M22" s="15">
        <f t="shared" ref="M22:M27" si="14">SUM(I22:L22)</f>
        <v>214</v>
      </c>
      <c r="O22" s="14">
        <v>70</v>
      </c>
      <c r="P22" s="14">
        <v>72</v>
      </c>
      <c r="Q22" s="14">
        <v>59</v>
      </c>
      <c r="R22" s="14">
        <v>75</v>
      </c>
      <c r="S22" s="15">
        <f t="shared" ref="S22:S27" si="15">SUM(O22:R22)</f>
        <v>276</v>
      </c>
      <c r="U22" s="14">
        <v>77</v>
      </c>
      <c r="V22" s="14">
        <v>100</v>
      </c>
      <c r="W22" s="14">
        <v>93</v>
      </c>
      <c r="X22" s="14">
        <v>101</v>
      </c>
      <c r="Y22" s="15">
        <f t="shared" ref="Y22:Y27" si="16">SUM(U22:X22)</f>
        <v>371</v>
      </c>
      <c r="AA22" s="14">
        <v>77</v>
      </c>
      <c r="AB22" s="14">
        <v>-82</v>
      </c>
      <c r="AC22" s="14">
        <v>93</v>
      </c>
      <c r="AD22" s="14">
        <v>101</v>
      </c>
      <c r="AE22" s="15">
        <f t="shared" ref="AE22:AE27" si="17">SUM(AA22:AD22)</f>
        <v>189</v>
      </c>
      <c r="AG22" s="14">
        <v>101</v>
      </c>
      <c r="AH22" s="14">
        <v>119</v>
      </c>
      <c r="AI22" s="14">
        <v>114</v>
      </c>
      <c r="AJ22" s="14">
        <v>135</v>
      </c>
      <c r="AK22" s="15">
        <f t="shared" ref="AK22:AK27" si="18">SUM(AG22:AJ22)</f>
        <v>469</v>
      </c>
      <c r="AM22" s="14">
        <v>117</v>
      </c>
      <c r="AN22" s="14">
        <v>269</v>
      </c>
      <c r="AO22" s="14">
        <v>126</v>
      </c>
      <c r="AP22" s="14">
        <v>124</v>
      </c>
      <c r="AQ22" s="15">
        <f t="shared" ref="AQ22:AQ27" si="19">SUM(AM22:AP22)</f>
        <v>636</v>
      </c>
      <c r="AS22" s="14">
        <v>146</v>
      </c>
      <c r="AT22" s="14">
        <v>174</v>
      </c>
      <c r="AU22" s="14">
        <v>134</v>
      </c>
      <c r="AV22" s="14">
        <v>180</v>
      </c>
      <c r="AW22" s="15">
        <f t="shared" ref="AW22:AW27" si="20">SUM(AS22:AV22)</f>
        <v>634</v>
      </c>
      <c r="AY22" s="14">
        <v>154</v>
      </c>
      <c r="AZ22" s="14">
        <v>193</v>
      </c>
      <c r="BA22" s="14">
        <v>105</v>
      </c>
      <c r="BB22" s="14">
        <v>111</v>
      </c>
      <c r="BC22" s="15">
        <f t="shared" ref="BC22:BC27" si="21">SUM(AY22:BB22)</f>
        <v>563</v>
      </c>
      <c r="BE22" s="14">
        <v>85</v>
      </c>
      <c r="BF22" s="14">
        <v>68</v>
      </c>
      <c r="BG22" s="14">
        <v>83</v>
      </c>
      <c r="BH22" s="84">
        <v>81</v>
      </c>
      <c r="BI22" s="15">
        <f t="shared" ref="BI22:BI27" si="22">SUM(BE22:BH22)</f>
        <v>317</v>
      </c>
      <c r="BK22" s="14">
        <v>150</v>
      </c>
      <c r="BL22" s="14">
        <v>167</v>
      </c>
      <c r="BM22" s="14">
        <v>104</v>
      </c>
      <c r="BN22" s="84">
        <v>105</v>
      </c>
      <c r="BO22" s="15">
        <f t="shared" ref="BO22:BO27" si="23">SUM(BK22:BN22)</f>
        <v>526</v>
      </c>
      <c r="BQ22" s="14">
        <v>175</v>
      </c>
      <c r="BR22" s="14">
        <v>193</v>
      </c>
      <c r="BS22" s="14">
        <v>157</v>
      </c>
      <c r="BT22" s="84">
        <v>174</v>
      </c>
      <c r="BU22" s="15">
        <f t="shared" ref="BU22:BU27" si="24">SUM(BQ22:BT22)</f>
        <v>699</v>
      </c>
      <c r="BW22" s="14">
        <v>195</v>
      </c>
      <c r="BX22" s="14">
        <v>198</v>
      </c>
      <c r="BY22" s="14"/>
      <c r="BZ22" s="84"/>
      <c r="CA22" s="15">
        <f t="shared" ref="CA22:CA27" si="25">SUM(BW22:BZ22)</f>
        <v>393</v>
      </c>
    </row>
    <row r="23" spans="1:251" hidden="1">
      <c r="A23" s="4" t="s">
        <v>41</v>
      </c>
      <c r="C23" s="14">
        <v>13</v>
      </c>
      <c r="D23" s="14">
        <v>13</v>
      </c>
      <c r="E23" s="14">
        <v>11</v>
      </c>
      <c r="F23" s="14">
        <v>10</v>
      </c>
      <c r="G23" s="15">
        <f t="shared" si="13"/>
        <v>47</v>
      </c>
      <c r="H23" s="16"/>
      <c r="I23" s="14">
        <f>67</f>
        <v>67</v>
      </c>
      <c r="J23" s="14">
        <v>19</v>
      </c>
      <c r="K23" s="14">
        <v>47</v>
      </c>
      <c r="L23" s="14">
        <v>20</v>
      </c>
      <c r="M23" s="15">
        <f t="shared" si="14"/>
        <v>153</v>
      </c>
      <c r="O23" s="14">
        <v>6</v>
      </c>
      <c r="P23" s="14">
        <v>5</v>
      </c>
      <c r="Q23" s="14">
        <v>3</v>
      </c>
      <c r="R23" s="14">
        <v>14</v>
      </c>
      <c r="S23" s="15">
        <f t="shared" si="15"/>
        <v>28</v>
      </c>
      <c r="U23" s="14">
        <v>4</v>
      </c>
      <c r="V23" s="14">
        <v>5</v>
      </c>
      <c r="W23" s="14">
        <v>138</v>
      </c>
      <c r="X23" s="14">
        <v>45</v>
      </c>
      <c r="Y23" s="15">
        <f t="shared" si="16"/>
        <v>192</v>
      </c>
      <c r="AA23" s="14">
        <v>4</v>
      </c>
      <c r="AB23" s="14">
        <v>5</v>
      </c>
      <c r="AC23" s="14">
        <v>138</v>
      </c>
      <c r="AD23" s="14">
        <v>45</v>
      </c>
      <c r="AE23" s="15">
        <f t="shared" si="17"/>
        <v>192</v>
      </c>
      <c r="AG23" s="14">
        <v>4</v>
      </c>
      <c r="AH23" s="14">
        <v>2</v>
      </c>
      <c r="AI23" s="14">
        <v>0</v>
      </c>
      <c r="AJ23" s="14">
        <v>1</v>
      </c>
      <c r="AK23" s="15">
        <f t="shared" si="18"/>
        <v>7</v>
      </c>
      <c r="AM23" s="14"/>
      <c r="AN23" s="14"/>
      <c r="AO23" s="14"/>
      <c r="AP23" s="14"/>
      <c r="AQ23" s="15">
        <f t="shared" si="19"/>
        <v>0</v>
      </c>
      <c r="AS23" s="14"/>
      <c r="AT23" s="14"/>
      <c r="AU23" s="14"/>
      <c r="AV23" s="14" t="s">
        <v>86</v>
      </c>
      <c r="AW23" s="15">
        <f t="shared" si="20"/>
        <v>0</v>
      </c>
      <c r="AY23" s="14"/>
      <c r="AZ23" s="14"/>
      <c r="BA23" s="14"/>
      <c r="BB23" s="14"/>
      <c r="BC23" s="15">
        <f t="shared" si="21"/>
        <v>0</v>
      </c>
      <c r="BE23" s="14"/>
      <c r="BF23" s="14"/>
      <c r="BG23" s="14"/>
      <c r="BH23" s="84"/>
      <c r="BI23" s="15">
        <f t="shared" si="22"/>
        <v>0</v>
      </c>
      <c r="BK23" s="14"/>
      <c r="BL23" s="14"/>
      <c r="BM23" s="14"/>
      <c r="BN23" s="84"/>
      <c r="BO23" s="15">
        <f t="shared" si="23"/>
        <v>0</v>
      </c>
      <c r="BQ23" s="14"/>
      <c r="BR23" s="14"/>
      <c r="BS23" s="14"/>
      <c r="BT23" s="84"/>
      <c r="BU23" s="15">
        <f t="shared" si="24"/>
        <v>0</v>
      </c>
      <c r="BW23" s="14"/>
      <c r="BX23" s="14"/>
      <c r="BY23" s="14"/>
      <c r="BZ23" s="84"/>
      <c r="CA23" s="15">
        <f t="shared" si="25"/>
        <v>0</v>
      </c>
    </row>
    <row r="24" spans="1:251">
      <c r="A24" s="4" t="s">
        <v>181</v>
      </c>
      <c r="C24" s="14">
        <v>-10</v>
      </c>
      <c r="D24" s="14">
        <v>6</v>
      </c>
      <c r="E24" s="14">
        <v>-5</v>
      </c>
      <c r="F24" s="14">
        <v>-8</v>
      </c>
      <c r="G24" s="15">
        <f t="shared" si="13"/>
        <v>-17</v>
      </c>
      <c r="H24" s="16"/>
      <c r="I24" s="14">
        <v>2</v>
      </c>
      <c r="J24" s="14">
        <v>-3</v>
      </c>
      <c r="K24" s="14">
        <v>-4</v>
      </c>
      <c r="L24" s="14">
        <v>-11</v>
      </c>
      <c r="M24" s="15">
        <f t="shared" si="14"/>
        <v>-16</v>
      </c>
      <c r="O24" s="14">
        <v>-7</v>
      </c>
      <c r="P24" s="14">
        <v>0</v>
      </c>
      <c r="Q24" s="14">
        <v>9</v>
      </c>
      <c r="R24" s="14">
        <v>-8</v>
      </c>
      <c r="S24" s="15">
        <f t="shared" si="15"/>
        <v>-6</v>
      </c>
      <c r="U24" s="14">
        <v>-10</v>
      </c>
      <c r="V24" s="14">
        <v>3</v>
      </c>
      <c r="W24" s="14">
        <v>-9</v>
      </c>
      <c r="X24" s="14">
        <v>-18</v>
      </c>
      <c r="Y24" s="15">
        <f t="shared" si="16"/>
        <v>-34</v>
      </c>
      <c r="AA24" s="14">
        <v>-9</v>
      </c>
      <c r="AB24" s="14">
        <v>-3</v>
      </c>
      <c r="AC24" s="14">
        <v>-8</v>
      </c>
      <c r="AD24" s="14">
        <v>-13</v>
      </c>
      <c r="AE24" s="15">
        <f t="shared" si="17"/>
        <v>-33</v>
      </c>
      <c r="AG24" s="14">
        <v>-4</v>
      </c>
      <c r="AH24" s="14">
        <v>-1</v>
      </c>
      <c r="AI24" s="14">
        <v>1</v>
      </c>
      <c r="AJ24" s="14">
        <v>14</v>
      </c>
      <c r="AK24" s="15">
        <f t="shared" si="18"/>
        <v>10</v>
      </c>
      <c r="AM24" s="14">
        <v>6</v>
      </c>
      <c r="AN24" s="14">
        <v>16</v>
      </c>
      <c r="AO24" s="14">
        <v>15</v>
      </c>
      <c r="AP24" s="14">
        <v>16</v>
      </c>
      <c r="AQ24" s="15">
        <f t="shared" si="19"/>
        <v>53</v>
      </c>
      <c r="AS24" s="14">
        <v>16</v>
      </c>
      <c r="AT24" s="14">
        <v>35</v>
      </c>
      <c r="AU24" s="14">
        <v>21</v>
      </c>
      <c r="AV24" s="14">
        <v>49</v>
      </c>
      <c r="AW24" s="15">
        <f t="shared" si="20"/>
        <v>121</v>
      </c>
      <c r="AY24" s="14">
        <v>47</v>
      </c>
      <c r="AZ24" s="14">
        <v>91</v>
      </c>
      <c r="BA24" s="14">
        <v>76</v>
      </c>
      <c r="BB24" s="14">
        <v>8</v>
      </c>
      <c r="BC24" s="15">
        <f t="shared" si="21"/>
        <v>222</v>
      </c>
      <c r="BE24" s="14">
        <v>37</v>
      </c>
      <c r="BF24" s="14">
        <v>43</v>
      </c>
      <c r="BG24" s="14">
        <v>39</v>
      </c>
      <c r="BH24" s="84">
        <v>17</v>
      </c>
      <c r="BI24" s="15">
        <f t="shared" si="22"/>
        <v>136</v>
      </c>
      <c r="BK24" s="14">
        <v>16</v>
      </c>
      <c r="BL24" s="14">
        <v>23</v>
      </c>
      <c r="BM24" s="14">
        <v>18</v>
      </c>
      <c r="BN24" s="84">
        <v>33</v>
      </c>
      <c r="BO24" s="15">
        <f t="shared" si="23"/>
        <v>90</v>
      </c>
      <c r="BQ24" s="58">
        <v>28</v>
      </c>
      <c r="BR24" s="58">
        <v>21</v>
      </c>
      <c r="BS24" s="58">
        <v>90</v>
      </c>
      <c r="BT24" s="58">
        <v>19</v>
      </c>
      <c r="BU24" s="15">
        <f t="shared" si="24"/>
        <v>158</v>
      </c>
      <c r="BW24" s="102">
        <v>0</v>
      </c>
      <c r="BX24" s="102">
        <v>0</v>
      </c>
      <c r="BY24" s="14"/>
      <c r="BZ24" s="84"/>
      <c r="CA24" s="15">
        <f t="shared" si="25"/>
        <v>0</v>
      </c>
    </row>
    <row r="25" spans="1:251">
      <c r="A25" s="4" t="s">
        <v>159</v>
      </c>
      <c r="C25" s="14">
        <f>4-10</f>
        <v>-6</v>
      </c>
      <c r="D25" s="14">
        <v>-6</v>
      </c>
      <c r="E25" s="14">
        <f>22-30</f>
        <v>-8</v>
      </c>
      <c r="F25" s="14">
        <v>-19</v>
      </c>
      <c r="G25" s="15">
        <f t="shared" si="13"/>
        <v>-39</v>
      </c>
      <c r="H25" s="16"/>
      <c r="I25" s="14">
        <v>-20</v>
      </c>
      <c r="J25" s="14">
        <v>-17</v>
      </c>
      <c r="K25" s="14">
        <v>-18</v>
      </c>
      <c r="L25" s="14">
        <v>-26</v>
      </c>
      <c r="M25" s="15">
        <f t="shared" si="14"/>
        <v>-81</v>
      </c>
      <c r="O25" s="14">
        <v>-20</v>
      </c>
      <c r="P25" s="14">
        <v>-17</v>
      </c>
      <c r="Q25" s="14">
        <v>-19</v>
      </c>
      <c r="R25" s="14">
        <v>-20</v>
      </c>
      <c r="S25" s="15">
        <f t="shared" si="15"/>
        <v>-76</v>
      </c>
      <c r="U25" s="14">
        <v>-19</v>
      </c>
      <c r="V25" s="14">
        <v>-18</v>
      </c>
      <c r="W25" s="14">
        <v>-19</v>
      </c>
      <c r="X25" s="14">
        <v>-31</v>
      </c>
      <c r="Y25" s="15">
        <f t="shared" si="16"/>
        <v>-87</v>
      </c>
      <c r="AA25" s="14">
        <v>-19</v>
      </c>
      <c r="AB25" s="14">
        <v>-18</v>
      </c>
      <c r="AC25" s="14">
        <v>-19</v>
      </c>
      <c r="AD25" s="14">
        <v>-31</v>
      </c>
      <c r="AE25" s="15">
        <f t="shared" si="17"/>
        <v>-87</v>
      </c>
      <c r="AG25" s="14">
        <v>0</v>
      </c>
      <c r="AH25" s="14">
        <v>-4</v>
      </c>
      <c r="AI25" s="14">
        <v>-1</v>
      </c>
      <c r="AJ25" s="14">
        <v>-3</v>
      </c>
      <c r="AK25" s="15">
        <f t="shared" si="18"/>
        <v>-8</v>
      </c>
      <c r="AM25" s="14">
        <v>-5</v>
      </c>
      <c r="AN25" s="14">
        <v>-6</v>
      </c>
      <c r="AO25" s="14">
        <v>-7</v>
      </c>
      <c r="AP25" s="14">
        <v>0</v>
      </c>
      <c r="AQ25" s="15">
        <f t="shared" si="19"/>
        <v>-18</v>
      </c>
      <c r="AS25" s="14">
        <v>-9</v>
      </c>
      <c r="AT25" s="14">
        <v>-2</v>
      </c>
      <c r="AU25" s="14">
        <v>-3</v>
      </c>
      <c r="AV25" s="14">
        <v>-4</v>
      </c>
      <c r="AW25" s="15">
        <f t="shared" si="20"/>
        <v>-18</v>
      </c>
      <c r="AY25" s="14">
        <v>-13</v>
      </c>
      <c r="AZ25" s="14">
        <v>0</v>
      </c>
      <c r="BA25" s="14">
        <v>-5</v>
      </c>
      <c r="BB25" s="14">
        <v>-12</v>
      </c>
      <c r="BC25" s="15">
        <f t="shared" si="21"/>
        <v>-30</v>
      </c>
      <c r="BE25" s="14">
        <v>-8</v>
      </c>
      <c r="BF25" s="14">
        <v>-12</v>
      </c>
      <c r="BG25" s="14">
        <v>-9</v>
      </c>
      <c r="BH25" s="84">
        <v>-2</v>
      </c>
      <c r="BI25" s="15">
        <f t="shared" si="22"/>
        <v>-31</v>
      </c>
      <c r="BK25" s="14">
        <v>-6</v>
      </c>
      <c r="BL25" s="14">
        <v>-5</v>
      </c>
      <c r="BM25" s="14">
        <v>-2</v>
      </c>
      <c r="BN25" s="84">
        <v>2</v>
      </c>
      <c r="BO25" s="15">
        <f t="shared" si="23"/>
        <v>-11</v>
      </c>
      <c r="BQ25" s="14">
        <v>-8</v>
      </c>
      <c r="BR25" s="14">
        <v>-1</v>
      </c>
      <c r="BS25" s="14">
        <v>3</v>
      </c>
      <c r="BT25" s="84">
        <v>7</v>
      </c>
      <c r="BU25" s="15">
        <f t="shared" si="24"/>
        <v>1</v>
      </c>
      <c r="BW25" s="14">
        <v>-1</v>
      </c>
      <c r="BX25" s="14">
        <v>-4</v>
      </c>
      <c r="BY25" s="14"/>
      <c r="BZ25" s="84"/>
      <c r="CA25" s="15">
        <f t="shared" si="25"/>
        <v>-5</v>
      </c>
    </row>
    <row r="26" spans="1:251" hidden="1">
      <c r="A26" s="4" t="s">
        <v>50</v>
      </c>
      <c r="C26" s="14">
        <v>-8</v>
      </c>
      <c r="D26" s="14">
        <v>-9</v>
      </c>
      <c r="E26" s="14">
        <v>-10</v>
      </c>
      <c r="F26" s="14">
        <v>-9</v>
      </c>
      <c r="G26" s="15">
        <f t="shared" si="13"/>
        <v>-36</v>
      </c>
      <c r="H26" s="16"/>
      <c r="I26" s="14">
        <v>-14</v>
      </c>
      <c r="J26" s="14">
        <v>-20</v>
      </c>
      <c r="K26" s="14">
        <v>-13</v>
      </c>
      <c r="L26" s="14">
        <v>-22</v>
      </c>
      <c r="M26" s="15">
        <f t="shared" si="14"/>
        <v>-69</v>
      </c>
      <c r="O26" s="14">
        <v>-4</v>
      </c>
      <c r="P26" s="14">
        <v>-2</v>
      </c>
      <c r="Q26" s="14">
        <v>-6</v>
      </c>
      <c r="R26" s="14">
        <v>3</v>
      </c>
      <c r="S26" s="15">
        <f t="shared" si="15"/>
        <v>-9</v>
      </c>
      <c r="U26" s="14">
        <v>0</v>
      </c>
      <c r="V26" s="14">
        <v>0</v>
      </c>
      <c r="W26" s="14">
        <v>0</v>
      </c>
      <c r="X26" s="14">
        <v>0</v>
      </c>
      <c r="Y26" s="15">
        <f t="shared" si="16"/>
        <v>0</v>
      </c>
      <c r="AA26" s="14"/>
      <c r="AB26" s="14"/>
      <c r="AC26" s="14"/>
      <c r="AD26" s="14"/>
      <c r="AE26" s="15">
        <f t="shared" si="17"/>
        <v>0</v>
      </c>
      <c r="AG26" s="14"/>
      <c r="AH26" s="14"/>
      <c r="AI26" s="14"/>
      <c r="AJ26" s="14"/>
      <c r="AK26" s="15">
        <f t="shared" si="18"/>
        <v>0</v>
      </c>
      <c r="AM26" s="14"/>
      <c r="AN26" s="14"/>
      <c r="AO26" s="14"/>
      <c r="AP26" s="14"/>
      <c r="AQ26" s="15">
        <f t="shared" si="19"/>
        <v>0</v>
      </c>
      <c r="AS26" s="14"/>
      <c r="AT26" s="14"/>
      <c r="AU26" s="14"/>
      <c r="AV26" s="14"/>
      <c r="AW26" s="15">
        <f t="shared" si="20"/>
        <v>0</v>
      </c>
      <c r="AY26" s="14"/>
      <c r="AZ26" s="14"/>
      <c r="BA26" s="14"/>
      <c r="BB26" s="14"/>
      <c r="BC26" s="15">
        <f t="shared" si="21"/>
        <v>0</v>
      </c>
      <c r="BE26" s="14"/>
      <c r="BF26" s="14"/>
      <c r="BG26" s="14"/>
      <c r="BH26" s="84"/>
      <c r="BI26" s="15">
        <f t="shared" si="22"/>
        <v>0</v>
      </c>
      <c r="BK26" s="14"/>
      <c r="BL26" s="14"/>
      <c r="BM26" s="14"/>
      <c r="BN26" s="84"/>
      <c r="BO26" s="15">
        <f t="shared" si="23"/>
        <v>0</v>
      </c>
      <c r="BQ26" s="14"/>
      <c r="BR26" s="14"/>
      <c r="BS26" s="14"/>
      <c r="BT26" s="84"/>
      <c r="BU26" s="15">
        <f t="shared" si="24"/>
        <v>0</v>
      </c>
      <c r="BW26" s="14"/>
      <c r="BX26" s="14"/>
      <c r="BY26" s="14"/>
      <c r="BZ26" s="84"/>
      <c r="CA26" s="15">
        <f t="shared" si="25"/>
        <v>0</v>
      </c>
    </row>
    <row r="27" spans="1:251">
      <c r="A27" s="4" t="s">
        <v>121</v>
      </c>
      <c r="C27" s="14">
        <f>-18+10</f>
        <v>-8</v>
      </c>
      <c r="D27" s="14">
        <v>-8</v>
      </c>
      <c r="E27" s="14">
        <f>-34+30</f>
        <v>-4</v>
      </c>
      <c r="F27" s="14">
        <v>-4</v>
      </c>
      <c r="G27" s="15">
        <f t="shared" si="13"/>
        <v>-24</v>
      </c>
      <c r="H27" s="16"/>
      <c r="I27" s="14">
        <v>-3</v>
      </c>
      <c r="J27" s="14">
        <v>-3</v>
      </c>
      <c r="K27" s="14">
        <v>-8</v>
      </c>
      <c r="L27" s="14">
        <v>-7</v>
      </c>
      <c r="M27" s="15">
        <f t="shared" si="14"/>
        <v>-21</v>
      </c>
      <c r="O27" s="14">
        <v>3</v>
      </c>
      <c r="P27" s="14">
        <v>-6</v>
      </c>
      <c r="Q27" s="14">
        <v>-4</v>
      </c>
      <c r="R27" s="14">
        <v>14</v>
      </c>
      <c r="S27" s="15">
        <f t="shared" si="15"/>
        <v>7</v>
      </c>
      <c r="U27" s="14">
        <v>-3</v>
      </c>
      <c r="V27" s="14">
        <v>-5</v>
      </c>
      <c r="W27" s="14">
        <v>-2</v>
      </c>
      <c r="X27" s="14">
        <v>-6</v>
      </c>
      <c r="Y27" s="15">
        <f t="shared" si="16"/>
        <v>-16</v>
      </c>
      <c r="AA27" s="14">
        <v>-7</v>
      </c>
      <c r="AB27" s="14">
        <v>0</v>
      </c>
      <c r="AC27" s="14">
        <v>-3</v>
      </c>
      <c r="AD27" s="14">
        <v>-7</v>
      </c>
      <c r="AE27" s="15">
        <f t="shared" si="17"/>
        <v>-17</v>
      </c>
      <c r="AG27" s="14">
        <v>1</v>
      </c>
      <c r="AH27" s="14">
        <v>-4</v>
      </c>
      <c r="AI27" s="14">
        <v>-3</v>
      </c>
      <c r="AJ27" s="14">
        <v>-1</v>
      </c>
      <c r="AK27" s="15">
        <f t="shared" si="18"/>
        <v>-7</v>
      </c>
      <c r="AM27" s="14">
        <v>-4</v>
      </c>
      <c r="AN27" s="14">
        <v>-5</v>
      </c>
      <c r="AO27" s="14">
        <v>1</v>
      </c>
      <c r="AP27" s="14">
        <v>-4</v>
      </c>
      <c r="AQ27" s="15">
        <f t="shared" si="19"/>
        <v>-12</v>
      </c>
      <c r="AS27" s="14">
        <v>-3</v>
      </c>
      <c r="AT27" s="14">
        <v>-5</v>
      </c>
      <c r="AU27" s="14">
        <v>-6</v>
      </c>
      <c r="AV27" s="14">
        <v>-9</v>
      </c>
      <c r="AW27" s="15">
        <f t="shared" si="20"/>
        <v>-23</v>
      </c>
      <c r="AY27" s="14">
        <v>-6</v>
      </c>
      <c r="AZ27" s="14">
        <v>-14</v>
      </c>
      <c r="BA27" s="14">
        <v>-8</v>
      </c>
      <c r="BB27" s="14">
        <v>-14</v>
      </c>
      <c r="BC27" s="15">
        <f t="shared" si="21"/>
        <v>-42</v>
      </c>
      <c r="BE27" s="14">
        <v>-2</v>
      </c>
      <c r="BF27" s="14">
        <v>-7</v>
      </c>
      <c r="BG27" s="14">
        <v>-6</v>
      </c>
      <c r="BH27" s="84">
        <v>3</v>
      </c>
      <c r="BI27" s="15">
        <f t="shared" si="22"/>
        <v>-12</v>
      </c>
      <c r="BK27" s="14">
        <v>-7</v>
      </c>
      <c r="BL27" s="14">
        <v>-8</v>
      </c>
      <c r="BM27" s="14">
        <v>-12</v>
      </c>
      <c r="BN27" s="84">
        <v>-8</v>
      </c>
      <c r="BO27" s="15">
        <f t="shared" si="23"/>
        <v>-35</v>
      </c>
      <c r="BQ27" s="14">
        <v>-8</v>
      </c>
      <c r="BR27" s="14">
        <v>-12</v>
      </c>
      <c r="BS27" s="14">
        <v>-9</v>
      </c>
      <c r="BT27" s="84">
        <v>-8</v>
      </c>
      <c r="BU27" s="15">
        <f t="shared" si="24"/>
        <v>-37</v>
      </c>
      <c r="BW27" s="14">
        <v>-6</v>
      </c>
      <c r="BX27" s="14">
        <v>-10</v>
      </c>
      <c r="BY27" s="14"/>
      <c r="BZ27" s="84"/>
      <c r="CA27" s="15">
        <f t="shared" si="25"/>
        <v>-16</v>
      </c>
    </row>
    <row r="28" spans="1:251" s="12" customFormat="1" ht="18.75" customHeight="1">
      <c r="B28" s="6"/>
      <c r="C28" s="17">
        <f>SUM(C20:C27)</f>
        <v>37</v>
      </c>
      <c r="D28" s="17">
        <f>SUM(D20:D27)</f>
        <v>169</v>
      </c>
      <c r="E28" s="17">
        <f>SUM(E20:E27)</f>
        <v>53</v>
      </c>
      <c r="F28" s="17">
        <f>SUM(F20:F27)</f>
        <v>56</v>
      </c>
      <c r="G28" s="18">
        <f>SUM(G20:G27)</f>
        <v>315</v>
      </c>
      <c r="H28" s="16"/>
      <c r="I28" s="17">
        <f>SUM(I20:I27)</f>
        <v>66</v>
      </c>
      <c r="J28" s="17">
        <f>SUM(J20:J27)</f>
        <v>86</v>
      </c>
      <c r="K28" s="17">
        <f>SUM(K20:K27)</f>
        <v>95</v>
      </c>
      <c r="L28" s="17">
        <f>SUM(L20:L27)</f>
        <v>-79</v>
      </c>
      <c r="M28" s="18">
        <f>SUM(M20:M27)</f>
        <v>168</v>
      </c>
      <c r="O28" s="17">
        <f>SUM(O20:O27)</f>
        <v>66</v>
      </c>
      <c r="P28" s="17">
        <f>SUM(P20:P27)</f>
        <v>101</v>
      </c>
      <c r="Q28" s="17">
        <f>SUM(Q20:Q27)</f>
        <v>108</v>
      </c>
      <c r="R28" s="17">
        <f>SUM(R20:R27)</f>
        <v>111</v>
      </c>
      <c r="S28" s="18">
        <f>SUM(S20:S27)</f>
        <v>386</v>
      </c>
      <c r="U28" s="17">
        <f>SUM(U20:U27)</f>
        <v>71</v>
      </c>
      <c r="V28" s="17">
        <f>SUM(V20:V27)</f>
        <v>149</v>
      </c>
      <c r="W28" s="17">
        <f>SUM(W20:W27)</f>
        <v>271</v>
      </c>
      <c r="X28" s="17">
        <f>SUM(X20:X27)</f>
        <v>125</v>
      </c>
      <c r="Y28" s="18">
        <f>SUM(Y20:Y27)</f>
        <v>616</v>
      </c>
      <c r="AA28" s="17">
        <f>SUM(AA20:AA27)</f>
        <v>68</v>
      </c>
      <c r="AB28" s="17">
        <f>SUM(AB20:AB27)</f>
        <v>-37</v>
      </c>
      <c r="AC28" s="17">
        <f>SUM(AC20:AC27)</f>
        <v>263</v>
      </c>
      <c r="AD28" s="17">
        <f>SUM(AD20:AD27)</f>
        <v>139</v>
      </c>
      <c r="AE28" s="18">
        <f>SUM(AE20:AE27)</f>
        <v>433</v>
      </c>
      <c r="AG28" s="17">
        <f>SUM(AG20:AG27)</f>
        <v>125</v>
      </c>
      <c r="AH28" s="17">
        <f>SUM(AH20:AH27)</f>
        <v>174</v>
      </c>
      <c r="AI28" s="17">
        <f>SUM(AI20:AI27)</f>
        <v>190</v>
      </c>
      <c r="AJ28" s="17">
        <f>SUM(AJ20:AJ27)</f>
        <v>224</v>
      </c>
      <c r="AK28" s="18">
        <f>SUM(AK20:AK27)</f>
        <v>713</v>
      </c>
      <c r="AM28" s="17">
        <f>SUM(AM20:AM27)</f>
        <v>176</v>
      </c>
      <c r="AN28" s="17">
        <f>SUM(AN20:AN27)</f>
        <v>373</v>
      </c>
      <c r="AO28" s="17">
        <f>SUM(AO20:AO27)</f>
        <v>255</v>
      </c>
      <c r="AP28" s="17">
        <f>SUM(AP20:AP27)</f>
        <v>218</v>
      </c>
      <c r="AQ28" s="18">
        <f>SUM(AQ20:AQ27)</f>
        <v>1022</v>
      </c>
      <c r="AS28" s="17">
        <f>SUM(AS20:AS27)</f>
        <v>256</v>
      </c>
      <c r="AT28" s="17">
        <f>SUM(AT20:AT27)</f>
        <v>397</v>
      </c>
      <c r="AU28" s="17">
        <f>SUM(AU20:AU27)</f>
        <v>333</v>
      </c>
      <c r="AV28" s="17">
        <f>SUM(AV20:AV27)</f>
        <v>447</v>
      </c>
      <c r="AW28" s="18">
        <f>SUM(AW20:AW27)</f>
        <v>1433</v>
      </c>
      <c r="AY28" s="17">
        <f>SUM(AY20:AY27)</f>
        <v>305</v>
      </c>
      <c r="AZ28" s="17">
        <f>SUM(AZ20:AZ27)</f>
        <v>461</v>
      </c>
      <c r="BA28" s="17">
        <f>SUM(BA20:BA27)</f>
        <v>329</v>
      </c>
      <c r="BB28" s="17">
        <f>SUM(BB20:BB27)</f>
        <v>123</v>
      </c>
      <c r="BC28" s="18">
        <f>SUM(BC20:BC27)</f>
        <v>1218</v>
      </c>
      <c r="BE28" s="17">
        <f>SUM(BE20:BE27)</f>
        <v>127</v>
      </c>
      <c r="BF28" s="17">
        <f>SUM(BF20:BF27)</f>
        <v>237</v>
      </c>
      <c r="BG28" s="17">
        <f>SUM(BG20:BG27)</f>
        <v>225</v>
      </c>
      <c r="BH28" s="17">
        <f>SUM(BH20:BH27)</f>
        <v>194</v>
      </c>
      <c r="BI28" s="18">
        <f>SUM(BI20:BI27)</f>
        <v>783</v>
      </c>
      <c r="BK28" s="17">
        <f>SUM(BK20:BK27)</f>
        <v>213</v>
      </c>
      <c r="BL28" s="17">
        <f>SUM(BL20:BL27)</f>
        <v>258</v>
      </c>
      <c r="BM28" s="17">
        <f>SUM(BM20:BM27)</f>
        <v>250</v>
      </c>
      <c r="BN28" s="17">
        <f>SUM(BN20:BN27)</f>
        <v>178</v>
      </c>
      <c r="BO28" s="18">
        <f>SUM(BO20:BO27)</f>
        <v>899</v>
      </c>
      <c r="BQ28" s="17">
        <f>SUM(BQ20:BQ27)</f>
        <v>216</v>
      </c>
      <c r="BR28" s="17">
        <f>SUM(BR20:BR27)</f>
        <v>210</v>
      </c>
      <c r="BS28" s="17">
        <f>SUM(BS20:BS27)</f>
        <v>312</v>
      </c>
      <c r="BT28" s="17">
        <f>SUM(BT20:BT27)</f>
        <v>265</v>
      </c>
      <c r="BU28" s="18">
        <f>SUM(BU20:BU27)</f>
        <v>1003</v>
      </c>
      <c r="BW28" s="17">
        <f>SUM(BW20:BW27)</f>
        <v>228</v>
      </c>
      <c r="BX28" s="17">
        <f>SUM(BX20:BX27)</f>
        <v>229</v>
      </c>
      <c r="BY28" s="17">
        <f>SUM(BY20:BY27)</f>
        <v>0</v>
      </c>
      <c r="BZ28" s="17">
        <f>SUM(BZ20:BZ27)</f>
        <v>0</v>
      </c>
      <c r="CA28" s="18">
        <f>SUM(CA20:CA27)</f>
        <v>457</v>
      </c>
      <c r="IL28" s="13"/>
    </row>
    <row r="29" spans="1:251" s="12" customFormat="1" ht="18.75" customHeight="1">
      <c r="A29" s="12" t="s">
        <v>51</v>
      </c>
      <c r="B29" s="6"/>
      <c r="C29" s="37">
        <f>C28/C14</f>
        <v>2.4057217165149546E-2</v>
      </c>
      <c r="D29" s="37">
        <f>D28/D14</f>
        <v>0.10047562425683709</v>
      </c>
      <c r="E29" s="37">
        <f>E28/E14</f>
        <v>3.2695866748920423E-2</v>
      </c>
      <c r="F29" s="37">
        <f>F28/F14</f>
        <v>3.533123028391167E-2</v>
      </c>
      <c r="G29" s="38">
        <f>G28/G14</f>
        <v>4.9019607843137254E-2</v>
      </c>
      <c r="H29" s="16"/>
      <c r="I29" s="37">
        <f>I28/I14</f>
        <v>4.8852701702442637E-2</v>
      </c>
      <c r="J29" s="37">
        <f>J28/J14</f>
        <v>5.6209150326797387E-2</v>
      </c>
      <c r="K29" s="37">
        <f>K28/K14</f>
        <v>6.25E-2</v>
      </c>
      <c r="L29" s="37">
        <f>L28/L14</f>
        <v>-5.3091397849462367E-2</v>
      </c>
      <c r="M29" s="38">
        <f>M28/M14</f>
        <v>2.8527763627101375E-2</v>
      </c>
      <c r="O29" s="37">
        <f>O28/O14</f>
        <v>4.9475262368815595E-2</v>
      </c>
      <c r="P29" s="37">
        <f>P28/P14</f>
        <v>6.8801089918256134E-2</v>
      </c>
      <c r="Q29" s="37">
        <f>Q28/Q14</f>
        <v>7.0496083550913843E-2</v>
      </c>
      <c r="R29" s="37">
        <f>R28/R14</f>
        <v>7.449664429530202E-2</v>
      </c>
      <c r="S29" s="38">
        <f>S28/S14</f>
        <v>6.6277472527472528E-2</v>
      </c>
      <c r="U29" s="37">
        <f>U28/U14</f>
        <v>4.9650349650349652E-2</v>
      </c>
      <c r="V29" s="37">
        <f>V28/V14</f>
        <v>7.4499999999999997E-2</v>
      </c>
      <c r="W29" s="37">
        <f>W28/W14</f>
        <v>0.12687265917602997</v>
      </c>
      <c r="X29" s="37">
        <f>X28/X14</f>
        <v>5.7897174617878647E-2</v>
      </c>
      <c r="Y29" s="38">
        <f>Y28/Y14</f>
        <v>7.9741100323624595E-2</v>
      </c>
      <c r="AA29" s="37">
        <f>AA28/AA14</f>
        <v>5.2147239263803678E-2</v>
      </c>
      <c r="AB29" s="37">
        <f>AB28/AB14</f>
        <v>-1.9946091644204852E-2</v>
      </c>
      <c r="AC29" s="37">
        <f>AC28/AC14</f>
        <v>0.13302984319676278</v>
      </c>
      <c r="AD29" s="37">
        <f>AD28/AD14</f>
        <v>6.9430569430569425E-2</v>
      </c>
      <c r="AE29" s="38">
        <f>AE28/AE14</f>
        <v>6.0661249649761835E-2</v>
      </c>
      <c r="AG29" s="37">
        <f>AG28/AG14</f>
        <v>6.6988210075026797E-2</v>
      </c>
      <c r="AH29" s="37">
        <f>AH28/AH14</f>
        <v>7.5916230366492143E-2</v>
      </c>
      <c r="AI29" s="37">
        <f>AI28/AI14</f>
        <v>8.5163603765127743E-2</v>
      </c>
      <c r="AJ29" s="37">
        <f>AJ28/AJ14</f>
        <v>9.4875052943667937E-2</v>
      </c>
      <c r="AK29" s="38">
        <f>AK28/AK14</f>
        <v>8.1485714285714286E-2</v>
      </c>
      <c r="AM29" s="37">
        <f>AM28/AM14</f>
        <v>7.2968490878938641E-2</v>
      </c>
      <c r="AN29" s="37">
        <f>AN28/AN14</f>
        <v>0.13147691223123018</v>
      </c>
      <c r="AO29" s="37">
        <f>AO28/AO14</f>
        <v>9.4339622641509441E-2</v>
      </c>
      <c r="AP29" s="37">
        <f>AP28/AP14</f>
        <v>7.6143904994760744E-2</v>
      </c>
      <c r="AQ29" s="38">
        <f>AQ28/AQ14</f>
        <v>9.4498381877022655E-2</v>
      </c>
      <c r="AS29" s="37">
        <f>AS28/AS14</f>
        <v>8.1789137380191695E-2</v>
      </c>
      <c r="AT29" s="37">
        <f>AT28/AT14</f>
        <v>0.10991140642303433</v>
      </c>
      <c r="AU29" s="37">
        <f>AU28/AU14</f>
        <v>9.9225268176400483E-2</v>
      </c>
      <c r="AV29" s="37">
        <f>AV28/AV14</f>
        <v>0.13043478260869565</v>
      </c>
      <c r="AW29" s="38">
        <f>AW28/AW14</f>
        <v>0.10595194085027726</v>
      </c>
      <c r="AY29" s="37">
        <f>AY28/AY14</f>
        <v>9.0612002376708259E-2</v>
      </c>
      <c r="AZ29" s="37">
        <f>AZ28/AZ14</f>
        <v>0.12166798627606229</v>
      </c>
      <c r="BA29" s="37">
        <f>BA28/BA14</f>
        <v>9.3253968253968256E-2</v>
      </c>
      <c r="BB29" s="37">
        <f>BB28/BB14</f>
        <v>3.9109697933227348E-2</v>
      </c>
      <c r="BC29" s="38">
        <f>BC28/BC14</f>
        <v>8.8082152155047735E-2</v>
      </c>
      <c r="BE29" s="37">
        <f>BE28/BE14</f>
        <v>4.8197343453510434E-2</v>
      </c>
      <c r="BF29" s="37">
        <f>BF28/BF14</f>
        <v>7.5381679389312978E-2</v>
      </c>
      <c r="BG29" s="37">
        <f>BG28/BG14</f>
        <v>7.5478027507547799E-2</v>
      </c>
      <c r="BH29" s="37">
        <f>BH28/BH14</f>
        <v>6.6279467031089848E-2</v>
      </c>
      <c r="BI29" s="38">
        <f>BI28/BI14</f>
        <v>6.699751861042183E-2</v>
      </c>
      <c r="BK29" s="37">
        <f>BK28/BK14</f>
        <v>6.9562377531025468E-2</v>
      </c>
      <c r="BL29" s="37">
        <f>BL28/BL14</f>
        <v>7.0976616231086656E-2</v>
      </c>
      <c r="BM29" s="37">
        <f>BM28/BM14</f>
        <v>6.7114093959731544E-2</v>
      </c>
      <c r="BN29" s="37">
        <f>BN28/BN14</f>
        <v>4.4179697195333829E-2</v>
      </c>
      <c r="BO29" s="38">
        <f>BO28/BO14</f>
        <v>6.2210227665905476E-2</v>
      </c>
      <c r="BQ29" s="37">
        <f>BQ28/BQ14</f>
        <v>5.7233704292527825E-2</v>
      </c>
      <c r="BR29" s="37">
        <f>BR28/BR14</f>
        <v>5.2290836653386456E-2</v>
      </c>
      <c r="BS29" s="37">
        <f>BS28/BS14</f>
        <v>7.9754601226993863E-2</v>
      </c>
      <c r="BT29" s="37">
        <f>BT28/BT14</f>
        <v>6.791389031266018E-2</v>
      </c>
      <c r="BU29" s="38">
        <f>BU28/BU14</f>
        <v>6.4278390156370158E-2</v>
      </c>
      <c r="BW29" s="37">
        <f>BW28/BW14</f>
        <v>6.4570943075615977E-2</v>
      </c>
      <c r="BX29" s="37">
        <f>BX28/BX14</f>
        <v>5.8657786885245901E-2</v>
      </c>
      <c r="BY29" s="37"/>
      <c r="BZ29" s="37"/>
      <c r="CA29" s="38">
        <f>CA28/CA14</f>
        <v>6.1466039004707464E-2</v>
      </c>
      <c r="IL29" s="36"/>
    </row>
    <row r="30" spans="1:251" s="12" customFormat="1" ht="18.75" customHeight="1">
      <c r="A30" s="12" t="s">
        <v>125</v>
      </c>
      <c r="B30" s="6"/>
      <c r="C30" s="37">
        <f>C21/C7</f>
        <v>1.5850144092219021E-2</v>
      </c>
      <c r="D30" s="37">
        <f>D21/D7</f>
        <v>0.18424396442185514</v>
      </c>
      <c r="E30" s="37">
        <f>E21/E7</f>
        <v>5.3020961775585698E-2</v>
      </c>
      <c r="F30" s="37">
        <f>F21/F7</f>
        <v>7.0950468540829981E-2</v>
      </c>
      <c r="G30" s="38">
        <f>G21/G7</f>
        <v>8.2922013820335636E-2</v>
      </c>
      <c r="H30" s="16"/>
      <c r="I30" s="37">
        <f>I21/I7</f>
        <v>-6.7453625632377737E-3</v>
      </c>
      <c r="J30" s="37">
        <f>J21/J7</f>
        <v>6.8399452804377564E-2</v>
      </c>
      <c r="K30" s="37">
        <f>K21/K7</f>
        <v>4.5395590142671853E-2</v>
      </c>
      <c r="L30" s="37">
        <f>L21/L7</f>
        <v>-0.12827586206896552</v>
      </c>
      <c r="M30" s="38">
        <f>M21/M7</f>
        <v>-4.2553191489361703E-3</v>
      </c>
      <c r="O30" s="37">
        <f>O21/O7</f>
        <v>3.2200357781753133E-2</v>
      </c>
      <c r="P30" s="37">
        <f>P21/P7</f>
        <v>7.1220930232558141E-2</v>
      </c>
      <c r="Q30" s="37">
        <f>Q21/Q7</f>
        <v>8.6049543676662316E-2</v>
      </c>
      <c r="R30" s="37">
        <f>R21/R7</f>
        <v>4.6875E-2</v>
      </c>
      <c r="S30" s="38">
        <f>S21/S7</f>
        <v>6.1074319352465045E-2</v>
      </c>
      <c r="U30" s="37">
        <f>U21/U7</f>
        <v>3.273809523809524E-2</v>
      </c>
      <c r="V30" s="37">
        <f>V21/V7</f>
        <v>7.7669902912621352E-2</v>
      </c>
      <c r="W30" s="37">
        <f>W21/W7</f>
        <v>7.6754385964912283E-2</v>
      </c>
      <c r="X30" s="37">
        <f>X21/X7</f>
        <v>3.7117903930131008E-2</v>
      </c>
      <c r="Y30" s="38">
        <f>Y21/Y7</f>
        <v>5.7160048134777375E-2</v>
      </c>
      <c r="AA30" s="37">
        <f>AA21/AA7</f>
        <v>3.8062283737024222E-2</v>
      </c>
      <c r="AB30" s="37">
        <f>AB21/AB7</f>
        <v>8.3791208791208785E-2</v>
      </c>
      <c r="AC30" s="37">
        <f>AC21/AC7</f>
        <v>7.6827757125154897E-2</v>
      </c>
      <c r="AD30" s="37">
        <f>AD21/AD7</f>
        <v>5.3593179049939099E-2</v>
      </c>
      <c r="AE30" s="38">
        <f>AE21/AE7</f>
        <v>6.4417177914110432E-2</v>
      </c>
      <c r="AG30" s="37">
        <f>AG21/AG7</f>
        <v>3.5714285714285712E-2</v>
      </c>
      <c r="AH30" s="37">
        <f>AH21/AH7</f>
        <v>7.1264367816091953E-2</v>
      </c>
      <c r="AI30" s="37">
        <f>AI21/AI7</f>
        <v>8.2809224318658281E-2</v>
      </c>
      <c r="AJ30" s="37">
        <f>AJ21/AJ7</f>
        <v>7.3515551366635248E-2</v>
      </c>
      <c r="AK30" s="38">
        <f>AK21/AK7</f>
        <v>6.857466704448853E-2</v>
      </c>
      <c r="AM30" s="37">
        <f>AM21/AM7</f>
        <v>6.0019361084220714E-2</v>
      </c>
      <c r="AN30" s="37">
        <f>AN21/AN7</f>
        <v>7.2104879825200294E-2</v>
      </c>
      <c r="AO30" s="37">
        <f>AO21/AO7</f>
        <v>8.6330935251798566E-2</v>
      </c>
      <c r="AP30" s="37">
        <f>AP21/AP7</f>
        <v>5.5706521739130432E-2</v>
      </c>
      <c r="AQ30" s="38">
        <f>AQ21/AQ7</f>
        <v>6.8906605922551253E-2</v>
      </c>
      <c r="AS30" s="37">
        <f>AS21/AS7</f>
        <v>6.3321385902031069E-2</v>
      </c>
      <c r="AT30" s="37">
        <f>AT21/AT7</f>
        <v>9.521484375E-2</v>
      </c>
      <c r="AU30" s="37">
        <f>AU21/AU7</f>
        <v>9.4587759231158322E-2</v>
      </c>
      <c r="AV30" s="37">
        <f>AV21/AV7</f>
        <v>0.12</v>
      </c>
      <c r="AW30" s="38">
        <f>AW21/AW7</f>
        <v>9.4307450157397693E-2</v>
      </c>
      <c r="AY30" s="37">
        <f>AY21/AY7</f>
        <v>6.6271551724137928E-2</v>
      </c>
      <c r="AZ30" s="37">
        <f>AZ21/AZ7</f>
        <v>9.1082498807820697E-2</v>
      </c>
      <c r="BA30" s="37">
        <f>BA21/BA7</f>
        <v>7.8498293515358364E-2</v>
      </c>
      <c r="BB30" s="37">
        <f>BB21/BB7</f>
        <v>1.70261066969353E-2</v>
      </c>
      <c r="BC30" s="38">
        <f>BC21/BC7</f>
        <v>6.5027040947720841E-2</v>
      </c>
      <c r="BE30" s="37">
        <f>BE21/BE7</f>
        <v>1.1811023622047244E-2</v>
      </c>
      <c r="BF30" s="37">
        <f>BF21/BF7</f>
        <v>8.1414935429533972E-2</v>
      </c>
      <c r="BG30" s="37">
        <f>BG21/BG7</f>
        <v>6.9289489136817387E-2</v>
      </c>
      <c r="BH30" s="37">
        <f>BH21/BH7</f>
        <v>5.8317986494782072E-2</v>
      </c>
      <c r="BI30" s="38">
        <f>BI21/BI7</f>
        <v>5.8436471878427071E-2</v>
      </c>
      <c r="BK30" s="37">
        <f>BK21/BK7</f>
        <v>3.7406483790523692E-2</v>
      </c>
      <c r="BL30" s="37">
        <f>BL21/BL7</f>
        <v>3.9396887159533073E-2</v>
      </c>
      <c r="BM30" s="37">
        <f>BM21/BM7</f>
        <v>6.1525129982668979E-2</v>
      </c>
      <c r="BN30" s="37">
        <f>BN21/BN7</f>
        <v>1.8025078369905956E-2</v>
      </c>
      <c r="BO30" s="38">
        <f>BO21/BO7</f>
        <v>3.8615023474178403E-2</v>
      </c>
      <c r="BQ30" s="37">
        <f>BQ21/BQ7</f>
        <v>1.330885727397889E-2</v>
      </c>
      <c r="BR30" s="37">
        <f>BR21/BR7</f>
        <v>3.8860103626943004E-3</v>
      </c>
      <c r="BS30" s="37">
        <f>BS21/BS7</f>
        <v>3.0135823429541596E-2</v>
      </c>
      <c r="BT30" s="37">
        <f>BT21/BT7</f>
        <v>3.2632990612427359E-2</v>
      </c>
      <c r="BU30" s="38">
        <f>BU21/BU7</f>
        <v>2.0026408450704226E-2</v>
      </c>
      <c r="BW30" s="37">
        <f>BW21/BW7</f>
        <v>2.1774632553075667E-2</v>
      </c>
      <c r="BX30" s="37">
        <f>BX21/BX7</f>
        <v>2.0842982862436313E-2</v>
      </c>
      <c r="BY30" s="37"/>
      <c r="BZ30" s="37"/>
      <c r="CA30" s="38">
        <f>CA21/CA7</f>
        <v>2.1271271271271271E-2</v>
      </c>
      <c r="IL30" s="36"/>
    </row>
    <row r="31" spans="1:251" s="12" customFormat="1" ht="18.75" customHeight="1">
      <c r="A31" s="12" t="s">
        <v>126</v>
      </c>
      <c r="B31" s="6"/>
      <c r="C31" s="37"/>
      <c r="D31" s="37"/>
      <c r="E31" s="37"/>
      <c r="F31" s="37"/>
      <c r="G31" s="38"/>
      <c r="H31" s="16"/>
      <c r="I31" s="37"/>
      <c r="J31" s="37"/>
      <c r="K31" s="37"/>
      <c r="L31" s="37"/>
      <c r="M31" s="38"/>
      <c r="O31" s="37">
        <f>+O21/O16</f>
        <v>3.1914893617021274E-2</v>
      </c>
      <c r="P31" s="37">
        <f>+P21/P16</f>
        <v>7.040229885057471E-2</v>
      </c>
      <c r="Q31" s="37">
        <f>+Q21/Q16</f>
        <v>8.5714285714285715E-2</v>
      </c>
      <c r="R31" s="37">
        <f>+R21/R16</f>
        <v>4.6875E-2</v>
      </c>
      <c r="S31" s="38">
        <f>+S21/S16</f>
        <v>6.0716898317483538E-2</v>
      </c>
      <c r="U31" s="37" t="s">
        <v>86</v>
      </c>
      <c r="V31" s="37"/>
      <c r="W31" s="37"/>
      <c r="X31" s="37"/>
      <c r="Y31" s="38"/>
      <c r="AA31" s="37">
        <f>+AA21/AA16</f>
        <v>3.5087719298245612E-2</v>
      </c>
      <c r="AB31" s="37">
        <f>+AB21/AB16</f>
        <v>8.3106267029972758E-2</v>
      </c>
      <c r="AC31" s="37">
        <f>+AC21/AC16</f>
        <v>7.5334143377885784E-2</v>
      </c>
      <c r="AD31" s="37">
        <f>+AD21/AD16</f>
        <v>5.4455445544554455E-2</v>
      </c>
      <c r="AE31" s="38">
        <f>+AE21/AE16</f>
        <v>6.3168449197860965E-2</v>
      </c>
      <c r="AG31" s="37">
        <f>+AG21/AG16</f>
        <v>4.0564373897707229E-2</v>
      </c>
      <c r="AH31" s="37">
        <f>+AH21/AH16</f>
        <v>8.3557951482479784E-2</v>
      </c>
      <c r="AI31" s="37">
        <f>+AI21/AI16</f>
        <v>9.8750000000000004E-2</v>
      </c>
      <c r="AJ31" s="37">
        <f>+AJ21/AJ16</f>
        <v>9.1764705882352943E-2</v>
      </c>
      <c r="AK31" s="38">
        <f>+AK21/AK16</f>
        <v>8.1784386617100371E-2</v>
      </c>
      <c r="AM31" s="37">
        <f>+AM21/AM16</f>
        <v>8.0519480519480519E-2</v>
      </c>
      <c r="AN31" s="37">
        <f>+AN21/AN16</f>
        <v>0.11073825503355705</v>
      </c>
      <c r="AO31" s="37">
        <f>+AO21/AO16</f>
        <v>0.13872832369942195</v>
      </c>
      <c r="AP31" s="37">
        <f>+AP21/AP16</f>
        <v>8.8744588744588751E-2</v>
      </c>
      <c r="AQ31" s="38">
        <f>+AQ21/AQ16</f>
        <v>0.10512597741094701</v>
      </c>
      <c r="AS31" s="37">
        <f>+AS21/AS16</f>
        <v>9.7876269621421971E-2</v>
      </c>
      <c r="AT31" s="37">
        <f>+AT21/AT16</f>
        <v>0.14942528735632185</v>
      </c>
      <c r="AU31" s="37">
        <f>+AU21/AU16</f>
        <v>0.15080645161290324</v>
      </c>
      <c r="AV31" s="37">
        <f>+AV21/AV16</f>
        <v>0.18203309692671396</v>
      </c>
      <c r="AW31" s="38">
        <f>+AW21/AW16</f>
        <v>0.1468245864815193</v>
      </c>
      <c r="AY31" s="37">
        <f>+AY21/AY16</f>
        <v>0.10344827586206896</v>
      </c>
      <c r="AZ31" s="39">
        <f>+AZ21/AZ16</f>
        <v>0.13750899928005761</v>
      </c>
      <c r="BA31" s="39">
        <f>+BA21/BA16</f>
        <v>0.12041884816753927</v>
      </c>
      <c r="BB31" s="39">
        <f>+BB21/BB16</f>
        <v>2.3148148148148147E-2</v>
      </c>
      <c r="BC31" s="38">
        <f>BC21/BC16</f>
        <v>9.691038188447515E-2</v>
      </c>
      <c r="BE31" s="37">
        <f>+BE21/BE16</f>
        <v>1.5337423312883436E-2</v>
      </c>
      <c r="BF31" s="37">
        <f>+BF21/BF16</f>
        <v>0.1091867469879518</v>
      </c>
      <c r="BG31" s="37">
        <f>+BG21/BG16</f>
        <v>9.9578059071729952E-2</v>
      </c>
      <c r="BH31" s="37">
        <f>+BH21/BH16</f>
        <v>8.2251082251082255E-2</v>
      </c>
      <c r="BI31" s="38">
        <f>BI21/BI16</f>
        <v>8.0284115368058545E-2</v>
      </c>
      <c r="BK31" s="37">
        <f>+BK21/BK16</f>
        <v>5.7915057915057917E-2</v>
      </c>
      <c r="BL31" s="37">
        <f>+BL21/BL16</f>
        <v>5.8951965065502182E-2</v>
      </c>
      <c r="BM31" s="37">
        <f>+BM21/BM16</f>
        <v>9.3053735255570119E-2</v>
      </c>
      <c r="BN31" s="37">
        <f>+BN21/BN16</f>
        <v>2.8553693358162633E-2</v>
      </c>
      <c r="BO31" s="38">
        <f>BO21/BO16</f>
        <v>5.9311339462772672E-2</v>
      </c>
      <c r="BQ31" s="37">
        <f>+BQ21/BQ16</f>
        <v>2.2870662460567823E-2</v>
      </c>
      <c r="BR31" s="37">
        <f>+BR21/BR16</f>
        <v>6.5359477124183009E-3</v>
      </c>
      <c r="BS31" s="37">
        <f>+BS21/BS16</f>
        <v>4.8266485384092457E-2</v>
      </c>
      <c r="BT31" s="37">
        <f>+BT21/BT16</f>
        <v>4.8057932850559579E-2</v>
      </c>
      <c r="BU31" s="38">
        <f>BU21/BU16</f>
        <v>3.2298136645962733E-2</v>
      </c>
      <c r="BW31" s="37">
        <f>+BW21/BW16</f>
        <v>3.5971223021582732E-2</v>
      </c>
      <c r="BX31" s="37">
        <f>+BX21/BX16</f>
        <v>3.3733133433283359E-2</v>
      </c>
      <c r="BY31" s="37"/>
      <c r="BZ31" s="37"/>
      <c r="CA31" s="38">
        <f>CA21/CA16</f>
        <v>3.4750613246116106E-2</v>
      </c>
      <c r="IL31" s="36"/>
    </row>
    <row r="32" spans="1:251" s="12" customFormat="1" ht="18.75" customHeight="1">
      <c r="A32" s="12" t="s">
        <v>52</v>
      </c>
      <c r="B32" s="6"/>
      <c r="C32" s="37">
        <f>C22/C8</f>
        <v>6.0565275908479141E-2</v>
      </c>
      <c r="D32" s="37">
        <f>D22/D8</f>
        <v>3.8199181446111868E-2</v>
      </c>
      <c r="E32" s="37">
        <f>E22/E8</f>
        <v>3.81791483113069E-2</v>
      </c>
      <c r="F32" s="37">
        <f>F22/F8</f>
        <v>4.5454545454545456E-2</v>
      </c>
      <c r="G32" s="38">
        <f>G22/G8</f>
        <v>4.5785639958376693E-2</v>
      </c>
      <c r="H32" s="16"/>
      <c r="I32" s="37">
        <f>I22/I8</f>
        <v>5.5800293685756244E-2</v>
      </c>
      <c r="J32" s="37">
        <f>J22/J8</f>
        <v>8.3565459610027856E-2</v>
      </c>
      <c r="K32" s="37">
        <f>K22/K8</f>
        <v>8.4848484848484854E-2</v>
      </c>
      <c r="L32" s="37">
        <f>L22/L8</f>
        <v>8.9020771513353122E-2</v>
      </c>
      <c r="M32" s="38">
        <f>M22/M8</f>
        <v>7.8302231979509695E-2</v>
      </c>
      <c r="O32" s="37">
        <f>O22/O8</f>
        <v>0.10401188707280833</v>
      </c>
      <c r="P32" s="37">
        <f>P22/P8</f>
        <v>0.10480349344978165</v>
      </c>
      <c r="Q32" s="37">
        <f>Q22/Q8</f>
        <v>8.9802130898021304E-2</v>
      </c>
      <c r="R32" s="37">
        <f>R22/R8</f>
        <v>0.10964912280701754</v>
      </c>
      <c r="S32" s="38">
        <f>S22/S8</f>
        <v>0.1021843761569789</v>
      </c>
      <c r="U32" s="37">
        <f>U22/U8</f>
        <v>0.10953058321479374</v>
      </c>
      <c r="V32" s="37">
        <f>V22/V8</f>
        <v>9.0661831368993653E-2</v>
      </c>
      <c r="W32" s="37">
        <f>W22/W8</f>
        <v>8.1081081081081086E-2</v>
      </c>
      <c r="X32" s="37">
        <f>X22/X8</f>
        <v>8.7219343696027629E-2</v>
      </c>
      <c r="Y32" s="38">
        <f>Y22/Y8</f>
        <v>9.0245682315738263E-2</v>
      </c>
      <c r="AA32" s="37">
        <f>AA22/AA8</f>
        <v>0.10953058321479374</v>
      </c>
      <c r="AB32" s="37">
        <f>AB22/AB8</f>
        <v>-7.4342701722574803E-2</v>
      </c>
      <c r="AC32" s="37">
        <f>AC22/AC8</f>
        <v>8.1081081081081086E-2</v>
      </c>
      <c r="AD32" s="37">
        <f>AD22/AD8</f>
        <v>8.7219343696027629E-2</v>
      </c>
      <c r="AE32" s="38">
        <f>AE22/AE8</f>
        <v>4.5974215519338363E-2</v>
      </c>
      <c r="AG32" s="37">
        <f>AG22/AG8</f>
        <v>8.4518828451882841E-2</v>
      </c>
      <c r="AH32" s="37">
        <f>AH22/AH8</f>
        <v>8.5365853658536592E-2</v>
      </c>
      <c r="AI32" s="37">
        <f>AI22/AI8</f>
        <v>9.1419406575781875E-2</v>
      </c>
      <c r="AJ32" s="37">
        <f>AJ22/AJ8</f>
        <v>0.10571652310101801</v>
      </c>
      <c r="AK32" s="38">
        <f>AK22/AK8</f>
        <v>9.1726970467435942E-2</v>
      </c>
      <c r="AM32" s="37">
        <f>AM22/AM8</f>
        <v>8.6474501108647447E-2</v>
      </c>
      <c r="AN32" s="37">
        <f>AN22/AN8</f>
        <v>0.18706536856745479</v>
      </c>
      <c r="AO32" s="37">
        <f>AO22/AO8</f>
        <v>9.7523219814241488E-2</v>
      </c>
      <c r="AP32" s="37">
        <f>AP22/AP8</f>
        <v>9.1445427728613568E-2</v>
      </c>
      <c r="AQ32" s="38">
        <f>AQ22/AQ8</f>
        <v>0.11693325979040264</v>
      </c>
      <c r="AS32" s="37">
        <f>AS22/AS8</f>
        <v>0.10195530726256984</v>
      </c>
      <c r="AT32" s="37">
        <f>AT22/AT8</f>
        <v>0.11372549019607843</v>
      </c>
      <c r="AU32" s="37">
        <f>AU22/AU8</f>
        <v>9.9480326651818857E-2</v>
      </c>
      <c r="AV32" s="37">
        <f>AV22/AV8</f>
        <v>0.12203389830508475</v>
      </c>
      <c r="AW32" s="38">
        <f>AW22/AW8</f>
        <v>0.10961272475795297</v>
      </c>
      <c r="AY32" s="37">
        <f>AY22/AY8</f>
        <v>0.10384356035064059</v>
      </c>
      <c r="AZ32" s="37">
        <f>AZ22/AZ8</f>
        <v>0.11789859499083689</v>
      </c>
      <c r="BA32" s="37">
        <f>BA22/BA8</f>
        <v>7.3632538569424963E-2</v>
      </c>
      <c r="BB32" s="37">
        <f>BB22/BB8</f>
        <v>8.3083832335329344E-2</v>
      </c>
      <c r="BC32" s="38">
        <f>BC22/BC8</f>
        <v>9.5715742944576673E-2</v>
      </c>
      <c r="BE32" s="37">
        <f>BE22/BE8</f>
        <v>6.4491654021244307E-2</v>
      </c>
      <c r="BF32" s="37">
        <f>BF22/BF8</f>
        <v>5.1359516616314202E-2</v>
      </c>
      <c r="BG32" s="37">
        <f>BG22/BG8</f>
        <v>6.6827697262479877E-2</v>
      </c>
      <c r="BH32" s="37">
        <f>BH22/BH8</f>
        <v>6.4593301435406703E-2</v>
      </c>
      <c r="BI32" s="38">
        <f>BI22/BI8</f>
        <v>6.1697158427403656E-2</v>
      </c>
      <c r="BK32" s="37">
        <f>BK22/BK8</f>
        <v>0.10578279266572638</v>
      </c>
      <c r="BL32" s="37">
        <f>BL22/BL8</f>
        <v>0.10900783289817233</v>
      </c>
      <c r="BM32" s="37">
        <f>BM22/BM8</f>
        <v>7.5801749271137031E-2</v>
      </c>
      <c r="BN32" s="37">
        <f>BN22/BN8</f>
        <v>7.3684210526315783E-2</v>
      </c>
      <c r="BO32" s="38">
        <f>BO22/BO8</f>
        <v>9.1526013572298587E-2</v>
      </c>
      <c r="BQ32" s="37">
        <f>BQ22/BQ8</f>
        <v>0.11275773195876289</v>
      </c>
      <c r="BR32" s="37">
        <f>BR22/BR8</f>
        <v>0.11689884918231375</v>
      </c>
      <c r="BS32" s="37">
        <f>BS22/BS8</f>
        <v>0.10459693537641572</v>
      </c>
      <c r="BT32" s="37">
        <f>BT22/BT8</f>
        <v>0.10854647535870243</v>
      </c>
      <c r="BU32" s="38">
        <f>BU22/BU8</f>
        <v>0.11082923735531949</v>
      </c>
      <c r="BW32" s="37">
        <f>BW22/BW8</f>
        <v>0.11919315403422982</v>
      </c>
      <c r="BX32" s="37">
        <f>BX22/BX8</f>
        <v>0.11695215593620792</v>
      </c>
      <c r="BY32" s="37"/>
      <c r="BZ32" s="37"/>
      <c r="CA32" s="38">
        <f>CA22/CA8</f>
        <v>0.11805346951036347</v>
      </c>
      <c r="IL32" s="36"/>
    </row>
    <row r="33" spans="1:246" s="6" customFormat="1" ht="18.75" hidden="1" customHeight="1"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O33" s="16"/>
      <c r="P33" s="16"/>
      <c r="Q33" s="16"/>
      <c r="R33" s="16"/>
      <c r="S33" s="16"/>
      <c r="U33" s="16"/>
      <c r="V33" s="16"/>
      <c r="W33" s="16"/>
      <c r="X33" s="16"/>
      <c r="Y33" s="16"/>
      <c r="AA33" s="16"/>
      <c r="AB33" s="16"/>
      <c r="AC33" s="16"/>
      <c r="AD33" s="16"/>
      <c r="AE33" s="16"/>
      <c r="AG33" s="16"/>
      <c r="AH33" s="16"/>
      <c r="AI33" s="16"/>
      <c r="AJ33" s="16"/>
      <c r="AK33" s="16"/>
      <c r="AM33" s="16"/>
      <c r="AN33" s="16"/>
      <c r="AO33" s="16"/>
      <c r="AP33" s="16"/>
      <c r="AQ33" s="16"/>
      <c r="AS33" s="16"/>
      <c r="AT33" s="16"/>
      <c r="AU33" s="16"/>
      <c r="AV33" s="16"/>
      <c r="AW33" s="16"/>
      <c r="IL33" s="3"/>
    </row>
    <row r="34" spans="1:246" hidden="1">
      <c r="A34" s="11" t="s">
        <v>3</v>
      </c>
      <c r="C34" s="14"/>
      <c r="D34" s="14"/>
      <c r="E34" s="14"/>
      <c r="F34" s="14"/>
      <c r="G34" s="15"/>
      <c r="H34" s="16"/>
      <c r="I34" s="14"/>
      <c r="J34" s="14"/>
      <c r="K34" s="14"/>
      <c r="L34" s="14"/>
      <c r="M34" s="15"/>
      <c r="O34" s="14"/>
      <c r="P34" s="14"/>
      <c r="Q34" s="14"/>
      <c r="R34" s="14"/>
      <c r="S34" s="15"/>
      <c r="U34" s="14"/>
      <c r="V34" s="14"/>
      <c r="W34" s="14"/>
      <c r="X34" s="14"/>
      <c r="Y34" s="15"/>
      <c r="AA34" s="55"/>
      <c r="AB34" s="55"/>
      <c r="AC34" s="55"/>
      <c r="AD34" s="55"/>
      <c r="AE34" s="16"/>
      <c r="AG34" s="55"/>
      <c r="AH34" s="55"/>
      <c r="AI34" s="55"/>
      <c r="AJ34" s="55"/>
      <c r="AK34" s="16"/>
      <c r="AM34" s="55"/>
      <c r="AN34" s="55"/>
      <c r="AO34" s="55"/>
      <c r="AP34" s="55"/>
      <c r="AQ34" s="16"/>
      <c r="AS34" s="55"/>
      <c r="AT34" s="55"/>
      <c r="AU34" s="55"/>
      <c r="AV34" s="55"/>
      <c r="AW34" s="16"/>
    </row>
    <row r="35" spans="1:246" hidden="1">
      <c r="A35" s="4" t="s">
        <v>162</v>
      </c>
      <c r="C35" s="14">
        <f>C51+2</f>
        <v>-29</v>
      </c>
      <c r="D35" s="14">
        <v>104</v>
      </c>
      <c r="E35" s="14">
        <v>0</v>
      </c>
      <c r="F35" s="14">
        <v>7</v>
      </c>
      <c r="G35" s="15">
        <f>SUM(C35:F35)</f>
        <v>82</v>
      </c>
      <c r="H35" s="16"/>
      <c r="I35" s="14">
        <f>I51+2</f>
        <v>-45</v>
      </c>
      <c r="J35" s="14">
        <f>J51+2</f>
        <v>9</v>
      </c>
      <c r="K35" s="14">
        <f>K51+2</f>
        <v>-5</v>
      </c>
      <c r="L35" s="14">
        <f>L51+27</f>
        <v>-658</v>
      </c>
      <c r="M35" s="15">
        <f>SUM(I35:L35)</f>
        <v>-699</v>
      </c>
      <c r="O35" s="14">
        <v>2</v>
      </c>
      <c r="P35" s="14">
        <v>33</v>
      </c>
      <c r="Q35" s="14">
        <v>51</v>
      </c>
      <c r="R35" s="14">
        <v>18</v>
      </c>
      <c r="S35" s="15">
        <f>SUM(O35:R35)</f>
        <v>104</v>
      </c>
      <c r="U35" s="14">
        <v>7</v>
      </c>
      <c r="V35" s="14">
        <v>49</v>
      </c>
      <c r="W35" s="14">
        <v>58</v>
      </c>
      <c r="X35" s="14">
        <v>3</v>
      </c>
      <c r="Y35" s="15">
        <f>SUM(U35:X35)</f>
        <v>117</v>
      </c>
      <c r="AA35" s="55"/>
      <c r="AB35" s="55"/>
      <c r="AC35" s="55"/>
      <c r="AD35" s="55"/>
      <c r="AE35" s="16"/>
      <c r="AG35" s="55"/>
      <c r="AH35" s="55"/>
      <c r="AI35" s="55"/>
      <c r="AJ35" s="55"/>
      <c r="AK35" s="16"/>
      <c r="AM35" s="55"/>
      <c r="AN35" s="55"/>
      <c r="AO35" s="55"/>
      <c r="AP35" s="55"/>
      <c r="AQ35" s="16"/>
      <c r="AS35" s="55"/>
      <c r="AT35" s="55"/>
      <c r="AU35" s="55"/>
      <c r="AV35" s="55"/>
      <c r="AW35" s="16"/>
    </row>
    <row r="36" spans="1:246" hidden="1">
      <c r="A36" s="4" t="s">
        <v>40</v>
      </c>
      <c r="C36" s="14">
        <v>29</v>
      </c>
      <c r="D36" s="14">
        <v>13</v>
      </c>
      <c r="E36" s="14">
        <v>7</v>
      </c>
      <c r="F36" s="14">
        <v>18</v>
      </c>
      <c r="G36" s="15">
        <f t="shared" ref="G36:G41" si="26">SUM(C36:F36)</f>
        <v>67</v>
      </c>
      <c r="H36" s="16"/>
      <c r="I36" s="14">
        <v>22</v>
      </c>
      <c r="J36" s="14">
        <f>J52+14</f>
        <v>45</v>
      </c>
      <c r="K36" s="14">
        <f>K52+15</f>
        <v>41</v>
      </c>
      <c r="L36" s="14">
        <v>45</v>
      </c>
      <c r="M36" s="15">
        <f t="shared" ref="M36:M41" si="27">SUM(I36:L36)</f>
        <v>153</v>
      </c>
      <c r="O36" s="14">
        <v>56</v>
      </c>
      <c r="P36" s="14">
        <v>58</v>
      </c>
      <c r="Q36" s="14">
        <v>46</v>
      </c>
      <c r="R36" s="14">
        <v>58</v>
      </c>
      <c r="S36" s="15">
        <f t="shared" ref="S36:S41" si="28">SUM(O36:R36)</f>
        <v>218</v>
      </c>
      <c r="U36" s="14">
        <v>62</v>
      </c>
      <c r="V36" s="14">
        <v>74</v>
      </c>
      <c r="W36" s="14">
        <v>65</v>
      </c>
      <c r="X36" s="14">
        <v>67</v>
      </c>
      <c r="Y36" s="15">
        <f t="shared" ref="Y36:Y41" si="29">SUM(U36:X36)</f>
        <v>268</v>
      </c>
      <c r="AA36" s="55"/>
      <c r="AB36" s="55"/>
      <c r="AC36" s="55"/>
      <c r="AD36" s="55"/>
      <c r="AE36" s="16"/>
      <c r="AG36" s="55"/>
      <c r="AH36" s="55"/>
      <c r="AI36" s="55"/>
      <c r="AJ36" s="55"/>
      <c r="AK36" s="16"/>
      <c r="AM36" s="55"/>
      <c r="AN36" s="55"/>
      <c r="AO36" s="55"/>
      <c r="AP36" s="55"/>
      <c r="AQ36" s="16"/>
      <c r="AS36" s="55"/>
      <c r="AT36" s="55"/>
      <c r="AU36" s="55"/>
      <c r="AV36" s="55"/>
      <c r="AW36" s="16"/>
    </row>
    <row r="37" spans="1:246" hidden="1">
      <c r="A37" s="4" t="s">
        <v>41</v>
      </c>
      <c r="C37" s="14">
        <f t="shared" ref="C37:F39" si="30">C53</f>
        <v>6</v>
      </c>
      <c r="D37" s="14">
        <f t="shared" si="30"/>
        <v>6</v>
      </c>
      <c r="E37" s="14">
        <f t="shared" si="30"/>
        <v>5</v>
      </c>
      <c r="F37" s="14">
        <f t="shared" si="30"/>
        <v>5</v>
      </c>
      <c r="G37" s="15">
        <f t="shared" si="26"/>
        <v>22</v>
      </c>
      <c r="H37" s="16"/>
      <c r="I37" s="14">
        <f t="shared" ref="I37:L40" si="31">I53</f>
        <v>61</v>
      </c>
      <c r="J37" s="14">
        <f t="shared" si="31"/>
        <v>13</v>
      </c>
      <c r="K37" s="14">
        <f t="shared" si="31"/>
        <v>41</v>
      </c>
      <c r="L37" s="14">
        <f t="shared" si="31"/>
        <v>16</v>
      </c>
      <c r="M37" s="15">
        <f t="shared" si="27"/>
        <v>131</v>
      </c>
      <c r="O37" s="14">
        <v>0</v>
      </c>
      <c r="P37" s="14">
        <v>0</v>
      </c>
      <c r="Q37" s="14">
        <v>-2</v>
      </c>
      <c r="R37" s="14">
        <v>2</v>
      </c>
      <c r="S37" s="15">
        <f t="shared" si="28"/>
        <v>0</v>
      </c>
      <c r="U37" s="14">
        <v>-1</v>
      </c>
      <c r="V37" s="14">
        <v>0</v>
      </c>
      <c r="W37" s="14">
        <v>136</v>
      </c>
      <c r="X37" s="14">
        <v>43</v>
      </c>
      <c r="Y37" s="15">
        <f t="shared" si="29"/>
        <v>178</v>
      </c>
      <c r="AA37" s="55"/>
      <c r="AB37" s="55"/>
      <c r="AC37" s="55"/>
      <c r="AD37" s="55"/>
      <c r="AE37" s="16"/>
      <c r="AG37" s="55"/>
      <c r="AH37" s="55"/>
      <c r="AI37" s="55"/>
      <c r="AJ37" s="55"/>
      <c r="AK37" s="16"/>
      <c r="AM37" s="55"/>
      <c r="AN37" s="55"/>
      <c r="AO37" s="55"/>
      <c r="AP37" s="55"/>
      <c r="AQ37" s="16"/>
      <c r="AS37" s="55"/>
      <c r="AT37" s="55"/>
      <c r="AU37" s="55"/>
      <c r="AV37" s="55"/>
      <c r="AW37" s="16"/>
    </row>
    <row r="38" spans="1:246" hidden="1">
      <c r="A38" s="4" t="s">
        <v>42</v>
      </c>
      <c r="C38" s="14">
        <f t="shared" si="30"/>
        <v>-19</v>
      </c>
      <c r="D38" s="14">
        <f t="shared" si="30"/>
        <v>-4</v>
      </c>
      <c r="E38" s="14">
        <f t="shared" si="30"/>
        <v>-15</v>
      </c>
      <c r="F38" s="14">
        <f t="shared" si="30"/>
        <v>-17</v>
      </c>
      <c r="G38" s="15">
        <f t="shared" si="26"/>
        <v>-55</v>
      </c>
      <c r="H38" s="16"/>
      <c r="I38" s="14">
        <f t="shared" si="31"/>
        <v>-8</v>
      </c>
      <c r="J38" s="14">
        <f t="shared" si="31"/>
        <v>-12</v>
      </c>
      <c r="K38" s="14">
        <f t="shared" si="31"/>
        <v>-12</v>
      </c>
      <c r="L38" s="14">
        <f t="shared" si="31"/>
        <v>-136</v>
      </c>
      <c r="M38" s="15">
        <f t="shared" si="27"/>
        <v>-168</v>
      </c>
      <c r="O38" s="14">
        <v>-13</v>
      </c>
      <c r="P38" s="14">
        <v>-6</v>
      </c>
      <c r="Q38" s="14">
        <v>1</v>
      </c>
      <c r="R38" s="14">
        <v>-14</v>
      </c>
      <c r="S38" s="15">
        <f t="shared" si="28"/>
        <v>-32</v>
      </c>
      <c r="U38" s="14">
        <v>-17</v>
      </c>
      <c r="V38" s="14">
        <v>-4</v>
      </c>
      <c r="W38" s="14">
        <v>-15</v>
      </c>
      <c r="X38" s="14">
        <v>-25</v>
      </c>
      <c r="Y38" s="15">
        <f t="shared" si="29"/>
        <v>-61</v>
      </c>
      <c r="AA38" s="55"/>
      <c r="AB38" s="55"/>
      <c r="AC38" s="55"/>
      <c r="AD38" s="55"/>
      <c r="AE38" s="16"/>
      <c r="AG38" s="55"/>
      <c r="AH38" s="55"/>
      <c r="AI38" s="55"/>
      <c r="AJ38" s="55"/>
      <c r="AK38" s="16"/>
      <c r="AM38" s="55"/>
      <c r="AN38" s="55"/>
      <c r="AO38" s="55"/>
      <c r="AP38" s="55"/>
      <c r="AQ38" s="16"/>
      <c r="AS38" s="55"/>
      <c r="AT38" s="55"/>
      <c r="AU38" s="55"/>
      <c r="AV38" s="55"/>
      <c r="AW38" s="16"/>
    </row>
    <row r="39" spans="1:246" hidden="1">
      <c r="A39" s="4" t="s">
        <v>159</v>
      </c>
      <c r="C39" s="14">
        <f t="shared" si="30"/>
        <v>-11</v>
      </c>
      <c r="D39" s="14">
        <f t="shared" si="30"/>
        <v>-11</v>
      </c>
      <c r="E39" s="14">
        <f t="shared" si="30"/>
        <v>-17</v>
      </c>
      <c r="F39" s="14">
        <f t="shared" si="30"/>
        <v>-29</v>
      </c>
      <c r="G39" s="15">
        <f t="shared" si="26"/>
        <v>-68</v>
      </c>
      <c r="H39" s="16"/>
      <c r="I39" s="14">
        <v>-30</v>
      </c>
      <c r="J39" s="14">
        <v>-28</v>
      </c>
      <c r="K39" s="14">
        <v>-30</v>
      </c>
      <c r="L39" s="14">
        <v>-58</v>
      </c>
      <c r="M39" s="15">
        <f t="shared" si="27"/>
        <v>-146</v>
      </c>
      <c r="O39" s="14">
        <v>-29</v>
      </c>
      <c r="P39" s="14">
        <v>-27</v>
      </c>
      <c r="Q39" s="14">
        <v>-30</v>
      </c>
      <c r="R39" s="14">
        <v>-49</v>
      </c>
      <c r="S39" s="15">
        <f t="shared" si="28"/>
        <v>-135</v>
      </c>
      <c r="U39" s="14">
        <v>-27</v>
      </c>
      <c r="V39" s="14">
        <v>-26</v>
      </c>
      <c r="W39" s="14">
        <v>-94</v>
      </c>
      <c r="X39" s="14">
        <v>-13</v>
      </c>
      <c r="Y39" s="15">
        <f t="shared" si="29"/>
        <v>-160</v>
      </c>
      <c r="AA39" s="55"/>
      <c r="AB39" s="55"/>
      <c r="AC39" s="55"/>
      <c r="AD39" s="55"/>
      <c r="AE39" s="16"/>
      <c r="AG39" s="55"/>
      <c r="AH39" s="55"/>
      <c r="AI39" s="55"/>
      <c r="AJ39" s="55"/>
      <c r="AK39" s="16"/>
      <c r="AM39" s="55"/>
      <c r="AN39" s="55"/>
      <c r="AO39" s="55"/>
      <c r="AP39" s="55"/>
      <c r="AQ39" s="16"/>
      <c r="AS39" s="55"/>
      <c r="AT39" s="55"/>
      <c r="AU39" s="55"/>
      <c r="AV39" s="55"/>
      <c r="AW39" s="16"/>
    </row>
    <row r="40" spans="1:246" hidden="1">
      <c r="A40" s="4" t="s">
        <v>50</v>
      </c>
      <c r="C40" s="14">
        <f>C56</f>
        <v>-9</v>
      </c>
      <c r="D40" s="14">
        <f>D56</f>
        <v>-9</v>
      </c>
      <c r="E40" s="14">
        <f>E56</f>
        <v>-11</v>
      </c>
      <c r="F40" s="14">
        <f>F56</f>
        <v>-13</v>
      </c>
      <c r="G40" s="15">
        <f t="shared" si="26"/>
        <v>-42</v>
      </c>
      <c r="H40" s="16"/>
      <c r="I40" s="14">
        <f t="shared" si="31"/>
        <v>-16</v>
      </c>
      <c r="J40" s="14">
        <f t="shared" si="31"/>
        <v>-22</v>
      </c>
      <c r="K40" s="14">
        <f t="shared" si="31"/>
        <v>-15</v>
      </c>
      <c r="L40" s="14">
        <f t="shared" si="31"/>
        <v>-28</v>
      </c>
      <c r="M40" s="15">
        <f t="shared" si="27"/>
        <v>-81</v>
      </c>
      <c r="O40" s="14">
        <v>-4</v>
      </c>
      <c r="P40" s="14">
        <v>-3</v>
      </c>
      <c r="Q40" s="14">
        <v>-6</v>
      </c>
      <c r="R40" s="14">
        <v>2</v>
      </c>
      <c r="S40" s="15">
        <f t="shared" si="28"/>
        <v>-11</v>
      </c>
      <c r="U40" s="14">
        <v>0</v>
      </c>
      <c r="V40" s="14">
        <v>0</v>
      </c>
      <c r="W40" s="14">
        <v>0</v>
      </c>
      <c r="X40" s="14">
        <v>0</v>
      </c>
      <c r="Y40" s="15">
        <f t="shared" si="29"/>
        <v>0</v>
      </c>
      <c r="AA40" s="55"/>
      <c r="AB40" s="55"/>
      <c r="AC40" s="55"/>
      <c r="AD40" s="55"/>
      <c r="AE40" s="16"/>
      <c r="AG40" s="55"/>
      <c r="AH40" s="55"/>
      <c r="AI40" s="55"/>
      <c r="AJ40" s="55"/>
      <c r="AK40" s="16"/>
      <c r="AM40" s="55"/>
      <c r="AN40" s="55"/>
      <c r="AO40" s="55"/>
      <c r="AP40" s="55"/>
      <c r="AQ40" s="16"/>
      <c r="AS40" s="55"/>
      <c r="AT40" s="55"/>
      <c r="AU40" s="55"/>
      <c r="AV40" s="55"/>
      <c r="AW40" s="16"/>
    </row>
    <row r="41" spans="1:246" hidden="1">
      <c r="A41" s="4" t="s">
        <v>43</v>
      </c>
      <c r="C41" s="14">
        <v>-5</v>
      </c>
      <c r="D41" s="14">
        <v>-6</v>
      </c>
      <c r="E41" s="14">
        <v>0</v>
      </c>
      <c r="F41" s="14">
        <v>-5</v>
      </c>
      <c r="G41" s="15">
        <f t="shared" si="26"/>
        <v>-16</v>
      </c>
      <c r="H41" s="16"/>
      <c r="I41" s="14">
        <v>0</v>
      </c>
      <c r="J41" s="14">
        <v>-2</v>
      </c>
      <c r="K41" s="14">
        <v>-5</v>
      </c>
      <c r="L41" s="14">
        <v>12</v>
      </c>
      <c r="M41" s="15">
        <f t="shared" si="27"/>
        <v>5</v>
      </c>
      <c r="O41" s="14">
        <v>2</v>
      </c>
      <c r="P41" s="14">
        <v>-5</v>
      </c>
      <c r="Q41" s="14">
        <v>-4</v>
      </c>
      <c r="R41" s="14">
        <v>12</v>
      </c>
      <c r="S41" s="15">
        <f t="shared" si="28"/>
        <v>5</v>
      </c>
      <c r="U41" s="14">
        <v>-5</v>
      </c>
      <c r="V41" s="14">
        <v>-5</v>
      </c>
      <c r="W41" s="14">
        <v>-3</v>
      </c>
      <c r="X41" s="14">
        <v>-5</v>
      </c>
      <c r="Y41" s="15">
        <f t="shared" si="29"/>
        <v>-18</v>
      </c>
      <c r="AA41" s="55"/>
      <c r="AB41" s="55"/>
      <c r="AC41" s="55"/>
      <c r="AD41" s="55"/>
      <c r="AE41" s="16"/>
      <c r="AG41" s="55"/>
      <c r="AH41" s="55"/>
      <c r="AI41" s="55"/>
      <c r="AJ41" s="55"/>
      <c r="AK41" s="16"/>
      <c r="AM41" s="55"/>
      <c r="AN41" s="55"/>
      <c r="AO41" s="55"/>
      <c r="AP41" s="55"/>
      <c r="AQ41" s="16"/>
      <c r="AS41" s="55"/>
      <c r="AT41" s="55"/>
      <c r="AU41" s="55"/>
      <c r="AV41" s="55"/>
      <c r="AW41" s="16"/>
    </row>
    <row r="42" spans="1:246" s="12" customFormat="1" ht="18.75" hidden="1" customHeight="1">
      <c r="B42" s="6"/>
      <c r="C42" s="17">
        <f>SUM(C34:C41)</f>
        <v>-38</v>
      </c>
      <c r="D42" s="17">
        <f>SUM(D34:D41)</f>
        <v>93</v>
      </c>
      <c r="E42" s="17">
        <f>SUM(E34:E41)</f>
        <v>-31</v>
      </c>
      <c r="F42" s="17">
        <f>SUM(F34:F41)</f>
        <v>-34</v>
      </c>
      <c r="G42" s="18">
        <f>SUM(G34:G41)</f>
        <v>-10</v>
      </c>
      <c r="H42" s="16"/>
      <c r="I42" s="17">
        <f>SUM(I34:I41)</f>
        <v>-16</v>
      </c>
      <c r="J42" s="17">
        <f>SUM(J34:J41)</f>
        <v>3</v>
      </c>
      <c r="K42" s="17">
        <f>SUM(K34:K41)</f>
        <v>15</v>
      </c>
      <c r="L42" s="17">
        <f>SUM(L34:L41)</f>
        <v>-807</v>
      </c>
      <c r="M42" s="18">
        <f>SUM(M34:M41)</f>
        <v>-805</v>
      </c>
      <c r="O42" s="17">
        <f>SUM(O34:O41)</f>
        <v>14</v>
      </c>
      <c r="P42" s="17">
        <f>SUM(P34:P41)</f>
        <v>50</v>
      </c>
      <c r="Q42" s="17">
        <f>SUM(Q34:Q41)</f>
        <v>56</v>
      </c>
      <c r="R42" s="17">
        <f>SUM(R34:R41)</f>
        <v>29</v>
      </c>
      <c r="S42" s="18">
        <f>SUM(S34:S41)</f>
        <v>149</v>
      </c>
      <c r="U42" s="17">
        <f>SUM(U34:U41)</f>
        <v>19</v>
      </c>
      <c r="V42" s="17">
        <f>SUM(V34:V41)</f>
        <v>88</v>
      </c>
      <c r="W42" s="17">
        <f>SUM(W34:W41)</f>
        <v>147</v>
      </c>
      <c r="X42" s="17">
        <f>SUM(X34:X41)</f>
        <v>70</v>
      </c>
      <c r="Y42" s="18">
        <f>SUM(Y34:Y41)</f>
        <v>324</v>
      </c>
      <c r="AA42" s="16"/>
      <c r="AB42" s="16"/>
      <c r="AC42" s="16"/>
      <c r="AD42" s="16"/>
      <c r="AE42" s="16"/>
      <c r="AG42" s="16"/>
      <c r="AH42" s="16"/>
      <c r="AI42" s="16"/>
      <c r="AJ42" s="16"/>
      <c r="AK42" s="16"/>
      <c r="AM42" s="16"/>
      <c r="AN42" s="16"/>
      <c r="AO42" s="16"/>
      <c r="AP42" s="16"/>
      <c r="AQ42" s="16"/>
      <c r="AS42" s="16"/>
      <c r="AT42" s="16"/>
      <c r="AU42" s="16"/>
      <c r="AV42" s="16"/>
      <c r="AW42" s="16"/>
      <c r="IL42" s="13"/>
    </row>
    <row r="43" spans="1:246" s="12" customFormat="1" ht="18.75" hidden="1" customHeight="1">
      <c r="A43" s="12" t="s">
        <v>66</v>
      </c>
      <c r="B43" s="6"/>
      <c r="C43" s="37">
        <f>C42/C14</f>
        <v>-2.47074122236671E-2</v>
      </c>
      <c r="D43" s="37">
        <f>D42/D14</f>
        <v>5.5291319857312726E-2</v>
      </c>
      <c r="E43" s="37">
        <f>E42/E14</f>
        <v>-1.9123997532387416E-2</v>
      </c>
      <c r="F43" s="37">
        <f>F42/F14</f>
        <v>-2.1451104100946371E-2</v>
      </c>
      <c r="G43" s="38">
        <f>G42/G14</f>
        <v>-1.556178026766262E-3</v>
      </c>
      <c r="H43" s="16"/>
      <c r="I43" s="37">
        <f>I42/I14</f>
        <v>-1.1843079200592153E-2</v>
      </c>
      <c r="J43" s="37">
        <f>J42/J14</f>
        <v>1.9607843137254902E-3</v>
      </c>
      <c r="K43" s="37">
        <f>K42/K14</f>
        <v>9.8684210526315784E-3</v>
      </c>
      <c r="L43" s="37">
        <f>L42/L14</f>
        <v>-0.54233870967741937</v>
      </c>
      <c r="M43" s="38">
        <f>M42/M14</f>
        <v>-0.13669553404652743</v>
      </c>
      <c r="O43" s="37">
        <f>O42/O14</f>
        <v>1.0494752623688156E-2</v>
      </c>
      <c r="P43" s="37">
        <f>P42/P14</f>
        <v>3.4059945504087197E-2</v>
      </c>
      <c r="Q43" s="37">
        <f>Q42/Q14</f>
        <v>3.6553524804177548E-2</v>
      </c>
      <c r="R43" s="37">
        <f>R42/R14</f>
        <v>1.9463087248322148E-2</v>
      </c>
      <c r="S43" s="38">
        <f>S42/S14</f>
        <v>2.5583791208791208E-2</v>
      </c>
      <c r="U43" s="37">
        <f>U42/U14</f>
        <v>1.3286713286713287E-2</v>
      </c>
      <c r="V43" s="37">
        <f>V42/V14</f>
        <v>4.3999999999999997E-2</v>
      </c>
      <c r="W43" s="37">
        <f>W42/W14</f>
        <v>6.8820224719101125E-2</v>
      </c>
      <c r="X43" s="37">
        <f>X42/X14</f>
        <v>3.2422417786012042E-2</v>
      </c>
      <c r="Y43" s="38">
        <f>Y42/Y14</f>
        <v>4.1941747572815533E-2</v>
      </c>
      <c r="AA43" s="39"/>
      <c r="AB43" s="39"/>
      <c r="AC43" s="39"/>
      <c r="AD43" s="39"/>
      <c r="AE43" s="39"/>
      <c r="AG43" s="39"/>
      <c r="AH43" s="39"/>
      <c r="AI43" s="39"/>
      <c r="AJ43" s="39"/>
      <c r="AK43" s="39"/>
      <c r="AM43" s="39"/>
      <c r="AN43" s="39"/>
      <c r="AO43" s="39"/>
      <c r="AP43" s="39"/>
      <c r="AQ43" s="39"/>
      <c r="AS43" s="39"/>
      <c r="AT43" s="39"/>
      <c r="AU43" s="39"/>
      <c r="AV43" s="39"/>
      <c r="AW43" s="39"/>
      <c r="IL43" s="36"/>
    </row>
    <row r="44" spans="1:246" s="12" customFormat="1" ht="18.75" hidden="1" customHeight="1">
      <c r="A44" s="12" t="s">
        <v>125</v>
      </c>
      <c r="B44" s="6"/>
      <c r="C44" s="37">
        <f>C35/C7</f>
        <v>-4.1786743515850142E-2</v>
      </c>
      <c r="D44" s="37">
        <f>D35/D7</f>
        <v>0.13214739517153748</v>
      </c>
      <c r="E44" s="37">
        <f>E35/E7</f>
        <v>0</v>
      </c>
      <c r="F44" s="37">
        <f>F35/F7</f>
        <v>9.3708165997322627E-3</v>
      </c>
      <c r="G44" s="38">
        <f>G35/G7</f>
        <v>2.6982560052648898E-2</v>
      </c>
      <c r="H44" s="16"/>
      <c r="I44" s="37">
        <f>I35/I7</f>
        <v>-7.5885328836424959E-2</v>
      </c>
      <c r="J44" s="37">
        <f>J35/J7</f>
        <v>1.2311901504787962E-2</v>
      </c>
      <c r="K44" s="37">
        <f>K35/K7</f>
        <v>-6.4850843060959796E-3</v>
      </c>
      <c r="L44" s="37">
        <f>L35/L7</f>
        <v>-0.90758620689655167</v>
      </c>
      <c r="M44" s="38">
        <f>M35/M7</f>
        <v>-0.24787234042553191</v>
      </c>
      <c r="O44" s="37">
        <f>O35/O7</f>
        <v>3.5778175313059034E-3</v>
      </c>
      <c r="P44" s="37">
        <f>P35/P7</f>
        <v>4.7965116279069769E-2</v>
      </c>
      <c r="Q44" s="37">
        <f>Q35/Q7</f>
        <v>6.6492829204693613E-2</v>
      </c>
      <c r="R44" s="37">
        <f>R35/R7</f>
        <v>2.556818181818182E-2</v>
      </c>
      <c r="S44" s="38">
        <f>S35/S7</f>
        <v>3.8263428991905817E-2</v>
      </c>
      <c r="U44" s="37">
        <f>U35/U7</f>
        <v>1.0416666666666666E-2</v>
      </c>
      <c r="V44" s="37">
        <f>V35/V7</f>
        <v>5.946601941747573E-2</v>
      </c>
      <c r="W44" s="37">
        <f>W35/W7</f>
        <v>6.3596491228070179E-2</v>
      </c>
      <c r="X44" s="37">
        <f>X35/X7</f>
        <v>3.2751091703056767E-3</v>
      </c>
      <c r="Y44" s="38">
        <f>Y35/Y7</f>
        <v>3.5198555956678701E-2</v>
      </c>
      <c r="AA44" s="39"/>
      <c r="AB44" s="39"/>
      <c r="AC44" s="39"/>
      <c r="AD44" s="39"/>
      <c r="AE44" s="39"/>
      <c r="AG44" s="39"/>
      <c r="AH44" s="39"/>
      <c r="AI44" s="39"/>
      <c r="AJ44" s="39"/>
      <c r="AK44" s="39"/>
      <c r="AM44" s="39"/>
      <c r="AN44" s="39"/>
      <c r="AO44" s="39"/>
      <c r="AP44" s="39"/>
      <c r="AQ44" s="39"/>
      <c r="AS44" s="39"/>
      <c r="AT44" s="39"/>
      <c r="AU44" s="39"/>
      <c r="AV44" s="39"/>
      <c r="AW44" s="39"/>
      <c r="IL44" s="36"/>
    </row>
    <row r="45" spans="1:246" s="12" customFormat="1" ht="18.75" hidden="1" customHeight="1">
      <c r="A45" s="12" t="s">
        <v>126</v>
      </c>
      <c r="B45" s="6"/>
      <c r="C45" s="37"/>
      <c r="D45" s="37"/>
      <c r="E45" s="37"/>
      <c r="F45" s="37"/>
      <c r="G45" s="38"/>
      <c r="H45" s="16"/>
      <c r="I45" s="37"/>
      <c r="J45" s="37"/>
      <c r="K45" s="37"/>
      <c r="L45" s="37"/>
      <c r="M45" s="38"/>
      <c r="O45" s="37">
        <f>+O35/O16</f>
        <v>3.5460992907801418E-3</v>
      </c>
      <c r="P45" s="37">
        <f>+P35/P16</f>
        <v>4.7413793103448273E-2</v>
      </c>
      <c r="Q45" s="37">
        <f>+Q35/Q16</f>
        <v>6.6233766233766228E-2</v>
      </c>
      <c r="R45" s="37">
        <f>+R35/R16</f>
        <v>2.556818181818182E-2</v>
      </c>
      <c r="S45" s="37">
        <f>+S35/S16</f>
        <v>3.8039502560351136E-2</v>
      </c>
      <c r="U45" s="37"/>
      <c r="V45" s="37"/>
      <c r="W45" s="37"/>
      <c r="X45" s="37"/>
      <c r="Y45" s="38"/>
      <c r="AA45" s="39"/>
      <c r="AB45" s="39"/>
      <c r="AC45" s="39"/>
      <c r="AD45" s="39"/>
      <c r="AE45" s="39"/>
      <c r="AG45" s="39"/>
      <c r="AH45" s="39"/>
      <c r="AI45" s="39"/>
      <c r="AJ45" s="39"/>
      <c r="AK45" s="39"/>
      <c r="AM45" s="39"/>
      <c r="AN45" s="39"/>
      <c r="AO45" s="39"/>
      <c r="AP45" s="39"/>
      <c r="AQ45" s="39"/>
      <c r="AS45" s="39"/>
      <c r="AT45" s="39"/>
      <c r="AU45" s="39"/>
      <c r="AV45" s="39"/>
      <c r="AW45" s="39"/>
      <c r="IL45" s="36"/>
    </row>
    <row r="46" spans="1:246" s="12" customFormat="1" ht="18.75" hidden="1" customHeight="1">
      <c r="A46" s="12" t="s">
        <v>52</v>
      </c>
      <c r="B46" s="6"/>
      <c r="C46" s="37">
        <f>C36/C8</f>
        <v>3.9030955585464336E-2</v>
      </c>
      <c r="D46" s="37">
        <f>D36/D8</f>
        <v>1.7735334242837655E-2</v>
      </c>
      <c r="E46" s="37">
        <f>E36/E8</f>
        <v>1.0279001468428781E-2</v>
      </c>
      <c r="F46" s="37">
        <f>F36/F8</f>
        <v>2.4793388429752067E-2</v>
      </c>
      <c r="G46" s="38">
        <f>G36/G8</f>
        <v>2.3239680887963927E-2</v>
      </c>
      <c r="H46" s="16"/>
      <c r="I46" s="37">
        <f>I36/I8</f>
        <v>3.2305433186490456E-2</v>
      </c>
      <c r="J46" s="37">
        <f>J36/J8</f>
        <v>6.2674094707520889E-2</v>
      </c>
      <c r="K46" s="37">
        <f>K36/K8</f>
        <v>6.2121212121212119E-2</v>
      </c>
      <c r="L46" s="37">
        <f>L36/L8</f>
        <v>6.6765578635014838E-2</v>
      </c>
      <c r="M46" s="38">
        <f>M36/M8</f>
        <v>5.598243688254665E-2</v>
      </c>
      <c r="O46" s="37">
        <f>O36/O8</f>
        <v>8.3209509658246653E-2</v>
      </c>
      <c r="P46" s="37">
        <f>P36/P8</f>
        <v>8.442503639010189E-2</v>
      </c>
      <c r="Q46" s="37">
        <f>Q36/Q8</f>
        <v>7.0015220700152203E-2</v>
      </c>
      <c r="R46" s="37">
        <f>R36/R8</f>
        <v>8.4795321637426896E-2</v>
      </c>
      <c r="S46" s="38">
        <f>S36/S8</f>
        <v>8.0710847834135499E-2</v>
      </c>
      <c r="U46" s="37">
        <f>U36/U8</f>
        <v>8.8193456614509252E-2</v>
      </c>
      <c r="V46" s="37">
        <f>V36/V8</f>
        <v>6.708975521305531E-2</v>
      </c>
      <c r="W46" s="37">
        <f>W36/W8</f>
        <v>5.6669572798605058E-2</v>
      </c>
      <c r="X46" s="37">
        <f>X36/X8</f>
        <v>5.7858376511226252E-2</v>
      </c>
      <c r="Y46" s="38">
        <f>Y36/Y8</f>
        <v>6.5190951106786674E-2</v>
      </c>
      <c r="AA46" s="39"/>
      <c r="AB46" s="39"/>
      <c r="AC46" s="39"/>
      <c r="AD46" s="39"/>
      <c r="AE46" s="39"/>
      <c r="AG46" s="39"/>
      <c r="AH46" s="39"/>
      <c r="AI46" s="39"/>
      <c r="AJ46" s="39"/>
      <c r="AK46" s="39"/>
      <c r="AM46" s="39"/>
      <c r="AN46" s="39"/>
      <c r="AO46" s="39"/>
      <c r="AP46" s="39"/>
      <c r="AQ46" s="39"/>
      <c r="AS46" s="39"/>
      <c r="AT46" s="39"/>
      <c r="AU46" s="39"/>
      <c r="AV46" s="39"/>
      <c r="AW46" s="39"/>
      <c r="IL46" s="36"/>
    </row>
    <row r="47" spans="1:246" s="6" customFormat="1" ht="18.75" hidden="1" customHeight="1"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O47" s="16"/>
      <c r="P47" s="16"/>
      <c r="Q47" s="16"/>
      <c r="R47" s="16"/>
      <c r="S47" s="16"/>
      <c r="U47" s="16"/>
      <c r="V47" s="16"/>
      <c r="W47" s="16"/>
      <c r="X47" s="16"/>
      <c r="Y47" s="16"/>
      <c r="AA47" s="16"/>
      <c r="AB47" s="16"/>
      <c r="AC47" s="16"/>
      <c r="AD47" s="16"/>
      <c r="AE47" s="16"/>
      <c r="AG47" s="16"/>
      <c r="AH47" s="16"/>
      <c r="AI47" s="16"/>
      <c r="AJ47" s="16"/>
      <c r="AK47" s="16"/>
      <c r="AM47" s="16"/>
      <c r="AN47" s="16"/>
      <c r="AO47" s="16"/>
      <c r="AP47" s="16"/>
      <c r="AQ47" s="16"/>
      <c r="AS47" s="16"/>
      <c r="AT47" s="16"/>
      <c r="AU47" s="16"/>
      <c r="AV47" s="16"/>
      <c r="AW47" s="16"/>
      <c r="IL47" s="3"/>
    </row>
    <row r="48" spans="1:246" s="6" customFormat="1" ht="18.75" hidden="1" customHeight="1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O48" s="16"/>
      <c r="P48" s="16"/>
      <c r="Q48" s="16"/>
      <c r="R48" s="16"/>
      <c r="S48" s="16"/>
      <c r="U48" s="16"/>
      <c r="V48" s="16"/>
      <c r="W48" s="16"/>
      <c r="X48" s="16"/>
      <c r="Y48" s="16"/>
      <c r="AA48" s="16"/>
      <c r="AB48" s="16"/>
      <c r="AC48" s="16"/>
      <c r="AD48" s="16"/>
      <c r="AE48" s="16"/>
      <c r="AG48" s="16"/>
      <c r="AH48" s="16"/>
      <c r="AI48" s="16"/>
      <c r="AJ48" s="16"/>
      <c r="AK48" s="16"/>
      <c r="AM48" s="16"/>
      <c r="AN48" s="16"/>
      <c r="AO48" s="16"/>
      <c r="AP48" s="16"/>
      <c r="AQ48" s="16"/>
      <c r="AS48" s="16"/>
      <c r="AT48" s="16"/>
      <c r="AU48" s="16"/>
      <c r="AV48" s="16"/>
      <c r="AW48" s="16"/>
      <c r="IL48" s="3"/>
    </row>
    <row r="49" spans="1:246">
      <c r="C49" s="14"/>
      <c r="D49" s="14"/>
      <c r="E49" s="14"/>
      <c r="F49" s="14"/>
      <c r="G49" s="19"/>
      <c r="H49" s="16"/>
      <c r="I49" s="14"/>
      <c r="J49" s="14"/>
      <c r="K49" s="14"/>
      <c r="L49" s="14"/>
      <c r="M49" s="19"/>
      <c r="O49" s="14"/>
      <c r="P49" s="14"/>
      <c r="Q49" s="14"/>
      <c r="R49" s="14"/>
      <c r="S49" s="19"/>
      <c r="U49" s="14"/>
      <c r="V49" s="14"/>
      <c r="W49" s="14"/>
      <c r="X49" s="14"/>
      <c r="Y49" s="19"/>
      <c r="AA49" s="14"/>
      <c r="AB49" s="14"/>
      <c r="AC49" s="14"/>
      <c r="AD49" s="14"/>
      <c r="AE49" s="19"/>
      <c r="AG49" s="14"/>
      <c r="AH49" s="14"/>
      <c r="AI49" s="14"/>
      <c r="AJ49" s="14"/>
      <c r="AK49" s="19"/>
      <c r="AM49" s="14"/>
      <c r="AN49" s="14"/>
      <c r="AO49" s="14"/>
      <c r="AP49" s="14"/>
      <c r="AQ49" s="19"/>
      <c r="AS49" s="14"/>
      <c r="AT49" s="14"/>
      <c r="AU49" s="14"/>
      <c r="AV49" s="14"/>
      <c r="AW49" s="19"/>
    </row>
    <row r="50" spans="1:246">
      <c r="A50" s="11" t="s">
        <v>2</v>
      </c>
      <c r="C50" s="14"/>
      <c r="D50" s="14"/>
      <c r="E50" s="14"/>
      <c r="F50" s="14"/>
      <c r="G50" s="15"/>
      <c r="H50" s="16"/>
      <c r="I50" s="14"/>
      <c r="J50" s="14"/>
      <c r="K50" s="14"/>
      <c r="L50" s="14"/>
      <c r="M50" s="15"/>
      <c r="O50" s="14"/>
      <c r="P50" s="14"/>
      <c r="Q50" s="14"/>
      <c r="R50" s="14"/>
      <c r="S50" s="15"/>
      <c r="U50" s="14"/>
      <c r="V50" s="14"/>
      <c r="W50" s="14"/>
      <c r="X50" s="14"/>
      <c r="Y50" s="15"/>
      <c r="AA50" s="14"/>
      <c r="AB50" s="14"/>
      <c r="AC50" s="14"/>
      <c r="AD50" s="14"/>
      <c r="AE50" s="15"/>
      <c r="AG50" s="14"/>
      <c r="AH50" s="14"/>
      <c r="AI50" s="14"/>
      <c r="AJ50" s="14"/>
      <c r="AK50" s="15"/>
      <c r="AM50" s="14"/>
      <c r="AN50" s="14"/>
      <c r="AO50" s="14"/>
      <c r="AP50" s="14"/>
      <c r="AQ50" s="15"/>
      <c r="AS50" s="14"/>
      <c r="AT50" s="14"/>
      <c r="AU50" s="14"/>
      <c r="AV50" s="14"/>
      <c r="AW50" s="15"/>
      <c r="AY50" s="14"/>
      <c r="AZ50" s="14"/>
      <c r="BA50" s="14"/>
      <c r="BB50" s="14"/>
      <c r="BC50" s="15"/>
      <c r="BE50" s="14"/>
      <c r="BF50" s="14"/>
      <c r="BG50" s="14"/>
      <c r="BH50" s="14"/>
      <c r="BI50" s="15"/>
      <c r="BK50" s="14"/>
      <c r="BL50" s="14"/>
      <c r="BM50" s="14"/>
      <c r="BN50" s="14"/>
      <c r="BO50" s="15"/>
      <c r="BQ50" s="14"/>
      <c r="BR50" s="14"/>
      <c r="BS50" s="14"/>
      <c r="BT50" s="14"/>
      <c r="BU50" s="15"/>
      <c r="BW50" s="14"/>
      <c r="BX50" s="14"/>
      <c r="BY50" s="14"/>
      <c r="BZ50" s="14"/>
      <c r="CA50" s="15"/>
    </row>
    <row r="51" spans="1:246">
      <c r="A51" s="4" t="s">
        <v>161</v>
      </c>
      <c r="C51" s="14">
        <v>-31</v>
      </c>
      <c r="D51" s="14">
        <v>102</v>
      </c>
      <c r="E51" s="14">
        <v>-1</v>
      </c>
      <c r="F51" s="14">
        <v>5</v>
      </c>
      <c r="G51" s="15">
        <f>SUM(C51:F51)</f>
        <v>75</v>
      </c>
      <c r="H51" s="16"/>
      <c r="I51" s="14">
        <v>-47</v>
      </c>
      <c r="J51" s="14">
        <v>7</v>
      </c>
      <c r="K51" s="14">
        <v>-7</v>
      </c>
      <c r="L51" s="14">
        <v>-685</v>
      </c>
      <c r="M51" s="15">
        <f>SUM(I51:L51)</f>
        <v>-732</v>
      </c>
      <c r="O51" s="14">
        <v>2</v>
      </c>
      <c r="P51" s="14">
        <v>33</v>
      </c>
      <c r="Q51" s="14">
        <v>51</v>
      </c>
      <c r="R51" s="14">
        <v>18</v>
      </c>
      <c r="S51" s="15">
        <f>SUM(O51:R51)</f>
        <v>104</v>
      </c>
      <c r="U51" s="14">
        <v>6</v>
      </c>
      <c r="V51" s="14">
        <v>48</v>
      </c>
      <c r="W51" s="14">
        <v>57</v>
      </c>
      <c r="X51" s="14">
        <v>4</v>
      </c>
      <c r="Y51" s="15">
        <f>SUM(U51:X51)</f>
        <v>115</v>
      </c>
      <c r="AA51" s="14">
        <v>6</v>
      </c>
      <c r="AB51" s="14">
        <v>49</v>
      </c>
      <c r="AC51" s="14">
        <v>51</v>
      </c>
      <c r="AD51" s="14">
        <v>30</v>
      </c>
      <c r="AE51" s="15">
        <f>SUM(AA51:AD51)</f>
        <v>136</v>
      </c>
      <c r="AG51" s="14">
        <v>6</v>
      </c>
      <c r="AH51" s="14">
        <v>47</v>
      </c>
      <c r="AI51" s="14">
        <v>65</v>
      </c>
      <c r="AJ51" s="14">
        <v>57</v>
      </c>
      <c r="AK51" s="15">
        <f>SUM(AG51:AJ51)</f>
        <v>175</v>
      </c>
      <c r="AM51" s="14">
        <v>51</v>
      </c>
      <c r="AN51" s="14">
        <v>87</v>
      </c>
      <c r="AO51" s="14">
        <v>104</v>
      </c>
      <c r="AP51" s="14">
        <v>59</v>
      </c>
      <c r="AQ51" s="15">
        <f>SUM(AM51:AP51)</f>
        <v>301</v>
      </c>
      <c r="AS51" s="14">
        <v>77</v>
      </c>
      <c r="AT51" s="14">
        <v>163</v>
      </c>
      <c r="AU51" s="14">
        <v>145</v>
      </c>
      <c r="AV51" s="14">
        <v>189</v>
      </c>
      <c r="AW51" s="15">
        <f>SUM(AS51:AV51)</f>
        <v>574</v>
      </c>
      <c r="AY51" s="14">
        <v>86</v>
      </c>
      <c r="AZ51" s="14">
        <v>153</v>
      </c>
      <c r="BA51" s="14">
        <v>120</v>
      </c>
      <c r="BB51" s="14">
        <v>-61</v>
      </c>
      <c r="BC51" s="15">
        <f>SUM(AY51:BB51)</f>
        <v>298</v>
      </c>
      <c r="BE51" s="14">
        <v>-26</v>
      </c>
      <c r="BF51" s="14">
        <v>104</v>
      </c>
      <c r="BG51" s="14">
        <v>71</v>
      </c>
      <c r="BH51" s="84">
        <v>48</v>
      </c>
      <c r="BI51" s="15">
        <f>SUM(BE51:BH51)</f>
        <v>197</v>
      </c>
      <c r="BK51" s="14">
        <v>13</v>
      </c>
      <c r="BL51" s="14">
        <v>30</v>
      </c>
      <c r="BM51" s="14">
        <v>87</v>
      </c>
      <c r="BN51" s="84">
        <v>-21</v>
      </c>
      <c r="BO51" s="15">
        <f>SUM(BK51:BN51)</f>
        <v>109</v>
      </c>
      <c r="BQ51" s="14">
        <v>-36</v>
      </c>
      <c r="BR51" s="14">
        <v>-56</v>
      </c>
      <c r="BS51" s="14">
        <v>2</v>
      </c>
      <c r="BT51" s="84">
        <v>-64</v>
      </c>
      <c r="BU51" s="15">
        <f>SUM(BQ51:BT51)</f>
        <v>-154</v>
      </c>
      <c r="BW51" s="14">
        <v>-29</v>
      </c>
      <c r="BX51" s="14">
        <v>-25</v>
      </c>
      <c r="BY51" s="14"/>
      <c r="BZ51" s="84"/>
      <c r="CA51" s="15">
        <f>SUM(BW51:BZ51)</f>
        <v>-54</v>
      </c>
    </row>
    <row r="52" spans="1:246">
      <c r="A52" s="4" t="s">
        <v>40</v>
      </c>
      <c r="C52" s="14">
        <v>15</v>
      </c>
      <c r="D52" s="14">
        <v>-1</v>
      </c>
      <c r="E52" s="14">
        <v>-7</v>
      </c>
      <c r="F52" s="14">
        <v>4</v>
      </c>
      <c r="G52" s="15">
        <f t="shared" ref="G52:G57" si="32">SUM(C52:F52)</f>
        <v>11</v>
      </c>
      <c r="H52" s="16"/>
      <c r="I52" s="14">
        <v>8</v>
      </c>
      <c r="J52" s="14">
        <v>31</v>
      </c>
      <c r="K52" s="14">
        <v>26</v>
      </c>
      <c r="L52" s="14">
        <v>30</v>
      </c>
      <c r="M52" s="15">
        <f t="shared" ref="M52:M57" si="33">SUM(I52:L52)</f>
        <v>95</v>
      </c>
      <c r="O52" s="14">
        <v>41</v>
      </c>
      <c r="P52" s="14">
        <v>45</v>
      </c>
      <c r="Q52" s="14">
        <v>33</v>
      </c>
      <c r="R52" s="14">
        <v>44</v>
      </c>
      <c r="S52" s="15">
        <f t="shared" ref="S52:S57" si="34">SUM(O52:R52)</f>
        <v>163</v>
      </c>
      <c r="U52" s="14">
        <v>48</v>
      </c>
      <c r="V52" s="14">
        <v>55</v>
      </c>
      <c r="W52" s="14">
        <v>45</v>
      </c>
      <c r="X52" s="14">
        <v>47</v>
      </c>
      <c r="Y52" s="15">
        <f t="shared" ref="Y52:Y57" si="35">SUM(U52:X52)</f>
        <v>195</v>
      </c>
      <c r="AA52" s="14">
        <v>59</v>
      </c>
      <c r="AB52" s="14">
        <v>-106</v>
      </c>
      <c r="AC52" s="14">
        <v>65</v>
      </c>
      <c r="AD52" s="14">
        <v>61</v>
      </c>
      <c r="AE52" s="15">
        <f t="shared" ref="AE52:AE57" si="36">SUM(AA52:AD52)</f>
        <v>79</v>
      </c>
      <c r="AG52" s="14">
        <v>71</v>
      </c>
      <c r="AH52" s="14">
        <v>88</v>
      </c>
      <c r="AI52" s="14">
        <v>82</v>
      </c>
      <c r="AJ52" s="14">
        <v>93</v>
      </c>
      <c r="AK52" s="15">
        <f t="shared" ref="AK52:AK57" si="37">SUM(AG52:AJ52)</f>
        <v>334</v>
      </c>
      <c r="AM52" s="14">
        <v>79</v>
      </c>
      <c r="AN52" s="14">
        <v>236</v>
      </c>
      <c r="AO52" s="14">
        <v>93</v>
      </c>
      <c r="AP52" s="14">
        <v>100</v>
      </c>
      <c r="AQ52" s="15">
        <f t="shared" ref="AQ52:AQ57" si="38">SUM(AM52:AP52)</f>
        <v>508</v>
      </c>
      <c r="AS52" s="14">
        <v>114</v>
      </c>
      <c r="AT52" s="14">
        <v>143</v>
      </c>
      <c r="AU52" s="14">
        <v>93</v>
      </c>
      <c r="AV52" s="14">
        <v>144</v>
      </c>
      <c r="AW52" s="15">
        <f t="shared" ref="AW52:AW57" si="39">SUM(AS52:AV52)</f>
        <v>494</v>
      </c>
      <c r="AY52" s="14">
        <v>117</v>
      </c>
      <c r="AZ52" s="14">
        <v>151</v>
      </c>
      <c r="BA52" s="14">
        <v>62</v>
      </c>
      <c r="BB52" s="14">
        <v>61</v>
      </c>
      <c r="BC52" s="15">
        <f t="shared" ref="BC52:BC57" si="40">SUM(AY52:BB52)</f>
        <v>391</v>
      </c>
      <c r="BE52" s="14">
        <v>38</v>
      </c>
      <c r="BF52" s="14">
        <v>24</v>
      </c>
      <c r="BG52" s="14">
        <v>40</v>
      </c>
      <c r="BH52" s="84">
        <v>39</v>
      </c>
      <c r="BI52" s="15">
        <f t="shared" ref="BI52:BI57" si="41">SUM(BE52:BH52)</f>
        <v>141</v>
      </c>
      <c r="BK52" s="14">
        <v>107</v>
      </c>
      <c r="BL52" s="14">
        <v>123</v>
      </c>
      <c r="BM52" s="14">
        <v>59</v>
      </c>
      <c r="BN52" s="84">
        <v>51</v>
      </c>
      <c r="BO52" s="15">
        <f t="shared" ref="BO52:BO57" si="42">SUM(BK52:BN52)</f>
        <v>340</v>
      </c>
      <c r="BQ52" s="14">
        <v>125</v>
      </c>
      <c r="BR52" s="14">
        <v>145</v>
      </c>
      <c r="BS52" s="14">
        <v>104</v>
      </c>
      <c r="BT52" s="84">
        <v>116</v>
      </c>
      <c r="BU52" s="15">
        <f t="shared" ref="BU52:BU57" si="43">SUM(BQ52:BT52)</f>
        <v>490</v>
      </c>
      <c r="BW52" s="14">
        <v>142</v>
      </c>
      <c r="BX52" s="14">
        <v>143</v>
      </c>
      <c r="BY52" s="14"/>
      <c r="BZ52" s="84"/>
      <c r="CA52" s="15">
        <f t="shared" ref="CA52:CA57" si="44">SUM(BW52:BZ52)</f>
        <v>285</v>
      </c>
    </row>
    <row r="53" spans="1:246" hidden="1">
      <c r="A53" s="4" t="s">
        <v>41</v>
      </c>
      <c r="C53" s="14">
        <v>6</v>
      </c>
      <c r="D53" s="14">
        <v>6</v>
      </c>
      <c r="E53" s="14">
        <v>5</v>
      </c>
      <c r="F53" s="14">
        <v>5</v>
      </c>
      <c r="G53" s="15">
        <f t="shared" si="32"/>
        <v>22</v>
      </c>
      <c r="H53" s="16"/>
      <c r="I53" s="14">
        <f>61</f>
        <v>61</v>
      </c>
      <c r="J53" s="14">
        <v>13</v>
      </c>
      <c r="K53" s="14">
        <v>41</v>
      </c>
      <c r="L53" s="14">
        <f>26-10</f>
        <v>16</v>
      </c>
      <c r="M53" s="15">
        <f t="shared" si="33"/>
        <v>131</v>
      </c>
      <c r="O53" s="14">
        <v>0</v>
      </c>
      <c r="P53" s="14">
        <v>0</v>
      </c>
      <c r="Q53" s="14">
        <v>-2</v>
      </c>
      <c r="R53" s="14">
        <v>2</v>
      </c>
      <c r="S53" s="15">
        <f t="shared" si="34"/>
        <v>0</v>
      </c>
      <c r="U53" s="14">
        <v>-1</v>
      </c>
      <c r="V53" s="14">
        <v>0</v>
      </c>
      <c r="W53" s="14">
        <v>136</v>
      </c>
      <c r="X53" s="14">
        <v>43</v>
      </c>
      <c r="Y53" s="15">
        <f t="shared" si="35"/>
        <v>178</v>
      </c>
      <c r="AA53" s="14">
        <v>-1</v>
      </c>
      <c r="AB53" s="14">
        <v>0</v>
      </c>
      <c r="AC53" s="14">
        <v>136</v>
      </c>
      <c r="AD53" s="14">
        <v>43</v>
      </c>
      <c r="AE53" s="15">
        <f t="shared" si="36"/>
        <v>178</v>
      </c>
      <c r="AG53" s="14">
        <v>4</v>
      </c>
      <c r="AH53" s="14">
        <v>2</v>
      </c>
      <c r="AI53" s="14">
        <v>0</v>
      </c>
      <c r="AJ53" s="14">
        <v>1</v>
      </c>
      <c r="AK53" s="15">
        <f t="shared" si="37"/>
        <v>7</v>
      </c>
      <c r="AM53" s="14"/>
      <c r="AN53" s="14"/>
      <c r="AO53" s="14"/>
      <c r="AP53" s="14"/>
      <c r="AQ53" s="15">
        <f t="shared" si="38"/>
        <v>0</v>
      </c>
      <c r="AS53" s="14"/>
      <c r="AT53" s="14"/>
      <c r="AU53" s="14"/>
      <c r="AV53" s="14"/>
      <c r="AW53" s="15">
        <f t="shared" si="39"/>
        <v>0</v>
      </c>
      <c r="AY53" s="14"/>
      <c r="AZ53" s="14"/>
      <c r="BA53" s="14"/>
      <c r="BB53" s="14"/>
      <c r="BC53" s="15">
        <f t="shared" si="40"/>
        <v>0</v>
      </c>
      <c r="BE53" s="14"/>
      <c r="BF53" s="14"/>
      <c r="BG53" s="14"/>
      <c r="BH53" s="84"/>
      <c r="BI53" s="15">
        <f t="shared" si="41"/>
        <v>0</v>
      </c>
      <c r="BK53" s="14"/>
      <c r="BL53" s="14"/>
      <c r="BM53" s="14"/>
      <c r="BN53" s="84"/>
      <c r="BO53" s="15">
        <f t="shared" si="42"/>
        <v>0</v>
      </c>
      <c r="BQ53" s="14"/>
      <c r="BR53" s="14"/>
      <c r="BS53" s="14"/>
      <c r="BT53" s="84"/>
      <c r="BU53" s="15">
        <f t="shared" si="43"/>
        <v>0</v>
      </c>
      <c r="BW53" s="14"/>
      <c r="BX53" s="14"/>
      <c r="BY53" s="14"/>
      <c r="BZ53" s="84"/>
      <c r="CA53" s="15">
        <f t="shared" si="44"/>
        <v>0</v>
      </c>
    </row>
    <row r="54" spans="1:246">
      <c r="A54" s="4" t="s">
        <v>181</v>
      </c>
      <c r="C54" s="14">
        <v>-19</v>
      </c>
      <c r="D54" s="14">
        <v>-4</v>
      </c>
      <c r="E54" s="14">
        <v>-15</v>
      </c>
      <c r="F54" s="14">
        <v>-17</v>
      </c>
      <c r="G54" s="15">
        <f t="shared" si="32"/>
        <v>-55</v>
      </c>
      <c r="H54" s="16"/>
      <c r="I54" s="14">
        <v>-8</v>
      </c>
      <c r="J54" s="14">
        <v>-12</v>
      </c>
      <c r="K54" s="14">
        <v>-12</v>
      </c>
      <c r="L54" s="14">
        <v>-136</v>
      </c>
      <c r="M54" s="15">
        <f t="shared" si="33"/>
        <v>-168</v>
      </c>
      <c r="O54" s="14">
        <v>-13</v>
      </c>
      <c r="P54" s="14">
        <v>-6</v>
      </c>
      <c r="Q54" s="14">
        <v>1</v>
      </c>
      <c r="R54" s="14">
        <v>-14</v>
      </c>
      <c r="S54" s="15">
        <f t="shared" si="34"/>
        <v>-32</v>
      </c>
      <c r="U54" s="14">
        <v>-17</v>
      </c>
      <c r="V54" s="14">
        <v>-4</v>
      </c>
      <c r="W54" s="14">
        <v>-15</v>
      </c>
      <c r="X54" s="14">
        <v>-25</v>
      </c>
      <c r="Y54" s="15">
        <f t="shared" si="35"/>
        <v>-61</v>
      </c>
      <c r="AA54" s="14">
        <v>-9</v>
      </c>
      <c r="AB54" s="14">
        <v>-3</v>
      </c>
      <c r="AC54" s="14">
        <v>-8</v>
      </c>
      <c r="AD54" s="14">
        <v>-13</v>
      </c>
      <c r="AE54" s="15">
        <f t="shared" si="36"/>
        <v>-33</v>
      </c>
      <c r="AG54" s="14">
        <v>-4</v>
      </c>
      <c r="AH54" s="14">
        <v>-1</v>
      </c>
      <c r="AI54" s="14">
        <v>1</v>
      </c>
      <c r="AJ54" s="14">
        <v>14</v>
      </c>
      <c r="AK54" s="15">
        <f t="shared" si="37"/>
        <v>10</v>
      </c>
      <c r="AM54" s="14">
        <v>6</v>
      </c>
      <c r="AN54" s="14">
        <v>16</v>
      </c>
      <c r="AO54" s="14">
        <v>15</v>
      </c>
      <c r="AP54" s="14">
        <v>16</v>
      </c>
      <c r="AQ54" s="15">
        <f t="shared" si="38"/>
        <v>53</v>
      </c>
      <c r="AS54" s="14">
        <v>16</v>
      </c>
      <c r="AT54" s="14">
        <v>35</v>
      </c>
      <c r="AU54" s="14">
        <v>21</v>
      </c>
      <c r="AV54" s="14">
        <v>49</v>
      </c>
      <c r="AW54" s="15">
        <f t="shared" si="39"/>
        <v>121</v>
      </c>
      <c r="AY54" s="14">
        <v>47</v>
      </c>
      <c r="AZ54" s="14">
        <v>91</v>
      </c>
      <c r="BA54" s="14">
        <v>76</v>
      </c>
      <c r="BB54" s="14">
        <v>8</v>
      </c>
      <c r="BC54" s="15">
        <f t="shared" si="40"/>
        <v>222</v>
      </c>
      <c r="BE54" s="14">
        <v>37</v>
      </c>
      <c r="BF54" s="14">
        <v>43</v>
      </c>
      <c r="BG54" s="14">
        <v>39</v>
      </c>
      <c r="BH54" s="84">
        <v>17</v>
      </c>
      <c r="BI54" s="15">
        <f t="shared" si="41"/>
        <v>136</v>
      </c>
      <c r="BK54" s="14">
        <v>16</v>
      </c>
      <c r="BL54" s="14">
        <v>23</v>
      </c>
      <c r="BM54" s="14">
        <v>18</v>
      </c>
      <c r="BN54" s="84">
        <v>33</v>
      </c>
      <c r="BO54" s="15">
        <f t="shared" si="42"/>
        <v>90</v>
      </c>
      <c r="BQ54" s="14">
        <v>28</v>
      </c>
      <c r="BR54" s="14">
        <v>21</v>
      </c>
      <c r="BS54" s="14">
        <v>90</v>
      </c>
      <c r="BT54" s="84">
        <v>19</v>
      </c>
      <c r="BU54" s="15">
        <f t="shared" si="43"/>
        <v>158</v>
      </c>
      <c r="BW54" s="102">
        <v>0</v>
      </c>
      <c r="BX54" s="102">
        <v>0</v>
      </c>
      <c r="BY54" s="14"/>
      <c r="BZ54" s="84"/>
      <c r="CA54" s="15">
        <f t="shared" si="44"/>
        <v>0</v>
      </c>
    </row>
    <row r="55" spans="1:246">
      <c r="A55" s="4" t="s">
        <v>159</v>
      </c>
      <c r="C55" s="14">
        <f>-1-10</f>
        <v>-11</v>
      </c>
      <c r="D55" s="14">
        <v>-11</v>
      </c>
      <c r="E55" s="14">
        <f>13-30</f>
        <v>-17</v>
      </c>
      <c r="F55" s="14">
        <v>-29</v>
      </c>
      <c r="G55" s="15">
        <f t="shared" si="32"/>
        <v>-68</v>
      </c>
      <c r="H55" s="16"/>
      <c r="I55" s="14">
        <v>-30</v>
      </c>
      <c r="J55" s="14">
        <v>-28</v>
      </c>
      <c r="K55" s="14">
        <v>-30</v>
      </c>
      <c r="L55" s="14">
        <f>-58</f>
        <v>-58</v>
      </c>
      <c r="M55" s="15">
        <f t="shared" si="33"/>
        <v>-146</v>
      </c>
      <c r="O55" s="14">
        <v>-29</v>
      </c>
      <c r="P55" s="14">
        <v>-27</v>
      </c>
      <c r="Q55" s="14">
        <v>-30</v>
      </c>
      <c r="R55" s="14">
        <v>-49</v>
      </c>
      <c r="S55" s="15">
        <f t="shared" si="34"/>
        <v>-135</v>
      </c>
      <c r="U55" s="14">
        <v>-28</v>
      </c>
      <c r="V55" s="14">
        <v>-26</v>
      </c>
      <c r="W55" s="14">
        <v>-94</v>
      </c>
      <c r="X55" s="14">
        <v>-12</v>
      </c>
      <c r="Y55" s="15">
        <f t="shared" si="35"/>
        <v>-160</v>
      </c>
      <c r="AA55" s="14">
        <v>-28</v>
      </c>
      <c r="AB55" s="14">
        <v>-26</v>
      </c>
      <c r="AC55" s="14">
        <v>-94</v>
      </c>
      <c r="AD55" s="14">
        <v>-11</v>
      </c>
      <c r="AE55" s="15">
        <f t="shared" si="36"/>
        <v>-159</v>
      </c>
      <c r="AG55" s="14">
        <v>-4</v>
      </c>
      <c r="AH55" s="14">
        <v>-8</v>
      </c>
      <c r="AI55" s="14">
        <v>-4</v>
      </c>
      <c r="AJ55" s="14">
        <v>-13</v>
      </c>
      <c r="AK55" s="15">
        <f t="shared" si="37"/>
        <v>-29</v>
      </c>
      <c r="AM55" s="14">
        <v>-8</v>
      </c>
      <c r="AN55" s="14">
        <v>-9</v>
      </c>
      <c r="AO55" s="14">
        <v>-11</v>
      </c>
      <c r="AP55" s="14">
        <v>-3</v>
      </c>
      <c r="AQ55" s="15">
        <f t="shared" si="38"/>
        <v>-31</v>
      </c>
      <c r="AS55" s="14">
        <v>-12</v>
      </c>
      <c r="AT55" s="14">
        <v>-5</v>
      </c>
      <c r="AU55" s="14">
        <v>-7</v>
      </c>
      <c r="AV55" s="14">
        <v>-8</v>
      </c>
      <c r="AW55" s="15">
        <f t="shared" si="39"/>
        <v>-32</v>
      </c>
      <c r="AY55" s="14">
        <v>-17</v>
      </c>
      <c r="AZ55" s="14">
        <v>-4</v>
      </c>
      <c r="BA55" s="14">
        <v>-9</v>
      </c>
      <c r="BB55" s="14">
        <v>-16</v>
      </c>
      <c r="BC55" s="15">
        <f t="shared" si="40"/>
        <v>-46</v>
      </c>
      <c r="BE55" s="14">
        <v>-12</v>
      </c>
      <c r="BF55" s="14">
        <v>-16</v>
      </c>
      <c r="BG55" s="14">
        <v>-13</v>
      </c>
      <c r="BH55" s="84">
        <v>-6</v>
      </c>
      <c r="BI55" s="15">
        <f t="shared" si="41"/>
        <v>-47</v>
      </c>
      <c r="BK55" s="14">
        <v>-9</v>
      </c>
      <c r="BL55" s="14">
        <v>-8</v>
      </c>
      <c r="BM55" s="14">
        <v>-5</v>
      </c>
      <c r="BN55" s="84">
        <v>-1</v>
      </c>
      <c r="BO55" s="15">
        <f t="shared" si="42"/>
        <v>-23</v>
      </c>
      <c r="BQ55" s="14">
        <v>-11</v>
      </c>
      <c r="BR55" s="14">
        <v>-4</v>
      </c>
      <c r="BS55" s="14">
        <v>-1</v>
      </c>
      <c r="BT55" s="84">
        <v>4</v>
      </c>
      <c r="BU55" s="15">
        <f t="shared" si="43"/>
        <v>-12</v>
      </c>
      <c r="BW55" s="14">
        <v>-5</v>
      </c>
      <c r="BX55" s="14">
        <v>-7</v>
      </c>
      <c r="BY55" s="14"/>
      <c r="BZ55" s="84"/>
      <c r="CA55" s="15">
        <f t="shared" si="44"/>
        <v>-12</v>
      </c>
    </row>
    <row r="56" spans="1:246" hidden="1">
      <c r="A56" s="4" t="s">
        <v>50</v>
      </c>
      <c r="C56" s="14">
        <v>-9</v>
      </c>
      <c r="D56" s="14">
        <v>-9</v>
      </c>
      <c r="E56" s="14">
        <v>-11</v>
      </c>
      <c r="F56" s="14">
        <v>-13</v>
      </c>
      <c r="G56" s="15">
        <f t="shared" si="32"/>
        <v>-42</v>
      </c>
      <c r="H56" s="16"/>
      <c r="I56" s="14">
        <v>-16</v>
      </c>
      <c r="J56" s="14">
        <v>-22</v>
      </c>
      <c r="K56" s="14">
        <v>-15</v>
      </c>
      <c r="L56" s="14">
        <v>-28</v>
      </c>
      <c r="M56" s="15">
        <f t="shared" si="33"/>
        <v>-81</v>
      </c>
      <c r="O56" s="14">
        <v>-4</v>
      </c>
      <c r="P56" s="14">
        <v>-3</v>
      </c>
      <c r="Q56" s="14">
        <v>-6</v>
      </c>
      <c r="R56" s="14">
        <v>2</v>
      </c>
      <c r="S56" s="15">
        <f t="shared" si="34"/>
        <v>-11</v>
      </c>
      <c r="U56" s="14">
        <v>0</v>
      </c>
      <c r="V56" s="14">
        <v>0</v>
      </c>
      <c r="W56" s="14">
        <v>0</v>
      </c>
      <c r="X56" s="14">
        <v>0</v>
      </c>
      <c r="Y56" s="15">
        <f t="shared" si="35"/>
        <v>0</v>
      </c>
      <c r="AA56" s="14"/>
      <c r="AB56" s="14"/>
      <c r="AC56" s="14"/>
      <c r="AD56" s="14"/>
      <c r="AE56" s="15">
        <f t="shared" si="36"/>
        <v>0</v>
      </c>
      <c r="AG56" s="14"/>
      <c r="AH56" s="14"/>
      <c r="AI56" s="14"/>
      <c r="AJ56" s="14"/>
      <c r="AK56" s="15">
        <f t="shared" si="37"/>
        <v>0</v>
      </c>
      <c r="AM56" s="14"/>
      <c r="AN56" s="14"/>
      <c r="AO56" s="14"/>
      <c r="AP56" s="14"/>
      <c r="AQ56" s="15">
        <f t="shared" si="38"/>
        <v>0</v>
      </c>
      <c r="AS56" s="14"/>
      <c r="AT56" s="14"/>
      <c r="AU56" s="14"/>
      <c r="AV56" s="14"/>
      <c r="AW56" s="15">
        <f t="shared" si="39"/>
        <v>0</v>
      </c>
      <c r="AY56" s="14"/>
      <c r="AZ56" s="14"/>
      <c r="BA56" s="14"/>
      <c r="BB56" s="14"/>
      <c r="BC56" s="15">
        <f t="shared" si="40"/>
        <v>0</v>
      </c>
      <c r="BE56" s="14"/>
      <c r="BF56" s="14"/>
      <c r="BG56" s="14"/>
      <c r="BH56" s="84"/>
      <c r="BI56" s="15">
        <f t="shared" si="41"/>
        <v>0</v>
      </c>
      <c r="BK56" s="14"/>
      <c r="BL56" s="14"/>
      <c r="BM56" s="14"/>
      <c r="BN56" s="84"/>
      <c r="BO56" s="15">
        <f t="shared" si="42"/>
        <v>0</v>
      </c>
      <c r="BQ56" s="14"/>
      <c r="BR56" s="14"/>
      <c r="BS56" s="14"/>
      <c r="BT56" s="84"/>
      <c r="BU56" s="15">
        <f t="shared" si="43"/>
        <v>0</v>
      </c>
      <c r="BW56" s="14"/>
      <c r="BX56" s="14"/>
      <c r="BY56" s="14"/>
      <c r="BZ56" s="84"/>
      <c r="CA56" s="15">
        <f t="shared" si="44"/>
        <v>0</v>
      </c>
    </row>
    <row r="57" spans="1:246">
      <c r="A57" s="4" t="s">
        <v>121</v>
      </c>
      <c r="C57" s="14">
        <f>-17+10</f>
        <v>-7</v>
      </c>
      <c r="D57" s="14">
        <v>-9</v>
      </c>
      <c r="E57" s="14">
        <f>-32+30</f>
        <v>-2</v>
      </c>
      <c r="F57" s="14">
        <v>-8</v>
      </c>
      <c r="G57" s="15">
        <f t="shared" si="32"/>
        <v>-26</v>
      </c>
      <c r="H57" s="16"/>
      <c r="I57" s="14">
        <v>-2</v>
      </c>
      <c r="J57" s="14">
        <v>-5</v>
      </c>
      <c r="K57" s="14">
        <v>-7</v>
      </c>
      <c r="L57" s="14">
        <f>-8</f>
        <v>-8</v>
      </c>
      <c r="M57" s="15">
        <f t="shared" si="33"/>
        <v>-22</v>
      </c>
      <c r="O57" s="14">
        <v>2</v>
      </c>
      <c r="P57" s="14">
        <v>-6</v>
      </c>
      <c r="Q57" s="14">
        <v>-4</v>
      </c>
      <c r="R57" s="14">
        <v>11</v>
      </c>
      <c r="S57" s="15">
        <f t="shared" si="34"/>
        <v>3</v>
      </c>
      <c r="U57" s="14">
        <v>-4</v>
      </c>
      <c r="V57" s="14">
        <v>-6</v>
      </c>
      <c r="W57" s="14">
        <v>-4</v>
      </c>
      <c r="X57" s="14">
        <v>-6</v>
      </c>
      <c r="Y57" s="15">
        <f t="shared" si="35"/>
        <v>-20</v>
      </c>
      <c r="AA57" s="14">
        <v>-4</v>
      </c>
      <c r="AB57" s="14">
        <v>-5</v>
      </c>
      <c r="AC57" s="14">
        <v>-4</v>
      </c>
      <c r="AD57" s="14">
        <v>-6</v>
      </c>
      <c r="AE57" s="15">
        <f t="shared" si="36"/>
        <v>-19</v>
      </c>
      <c r="AG57" s="14">
        <v>1</v>
      </c>
      <c r="AH57" s="14">
        <v>-3</v>
      </c>
      <c r="AI57" s="14">
        <v>-5</v>
      </c>
      <c r="AJ57" s="14">
        <v>-5</v>
      </c>
      <c r="AK57" s="15">
        <f t="shared" si="37"/>
        <v>-12</v>
      </c>
      <c r="AM57" s="14">
        <v>-4</v>
      </c>
      <c r="AN57" s="14">
        <v>-6</v>
      </c>
      <c r="AO57" s="14">
        <v>1</v>
      </c>
      <c r="AP57" s="14">
        <v>-4</v>
      </c>
      <c r="AQ57" s="15">
        <f t="shared" si="38"/>
        <v>-13</v>
      </c>
      <c r="AS57" s="14">
        <v>-4</v>
      </c>
      <c r="AT57" s="14">
        <v>-5</v>
      </c>
      <c r="AU57" s="14">
        <v>-4</v>
      </c>
      <c r="AV57" s="14">
        <v>-11</v>
      </c>
      <c r="AW57" s="15">
        <f t="shared" si="39"/>
        <v>-24</v>
      </c>
      <c r="AY57" s="14">
        <v>-7</v>
      </c>
      <c r="AZ57" s="14">
        <v>-14</v>
      </c>
      <c r="BA57" s="14">
        <v>-8</v>
      </c>
      <c r="BB57" s="14">
        <v>-18</v>
      </c>
      <c r="BC57" s="15">
        <f t="shared" si="40"/>
        <v>-47</v>
      </c>
      <c r="BE57" s="14">
        <v>-1</v>
      </c>
      <c r="BF57" s="14">
        <v>-9</v>
      </c>
      <c r="BG57" s="14">
        <v>-6</v>
      </c>
      <c r="BH57" s="84">
        <v>5</v>
      </c>
      <c r="BI57" s="15">
        <f t="shared" si="41"/>
        <v>-11</v>
      </c>
      <c r="BK57" s="14">
        <v>-7</v>
      </c>
      <c r="BL57" s="14">
        <v>-8</v>
      </c>
      <c r="BM57" s="14">
        <v>-11</v>
      </c>
      <c r="BN57" s="84">
        <v>-10</v>
      </c>
      <c r="BO57" s="15">
        <f t="shared" si="42"/>
        <v>-36</v>
      </c>
      <c r="BQ57" s="14">
        <v>-9</v>
      </c>
      <c r="BR57" s="14">
        <v>-10</v>
      </c>
      <c r="BS57" s="14">
        <v>-10</v>
      </c>
      <c r="BT57" s="84">
        <v>-8</v>
      </c>
      <c r="BU57" s="15">
        <f t="shared" si="43"/>
        <v>-37</v>
      </c>
      <c r="BW57" s="14">
        <v>-5</v>
      </c>
      <c r="BX57" s="14">
        <v>-12</v>
      </c>
      <c r="BY57" s="14"/>
      <c r="BZ57" s="84"/>
      <c r="CA57" s="15">
        <f t="shared" si="44"/>
        <v>-17</v>
      </c>
    </row>
    <row r="58" spans="1:246" s="12" customFormat="1" ht="18.75" customHeight="1">
      <c r="B58" s="6"/>
      <c r="C58" s="17">
        <f>SUM(C50:C57)</f>
        <v>-56</v>
      </c>
      <c r="D58" s="17">
        <f>SUM(D50:D57)</f>
        <v>74</v>
      </c>
      <c r="E58" s="17">
        <f>SUM(E50:E57)</f>
        <v>-48</v>
      </c>
      <c r="F58" s="17">
        <f>SUM(F50:F57)</f>
        <v>-53</v>
      </c>
      <c r="G58" s="18">
        <f>SUM(G50:G57)</f>
        <v>-83</v>
      </c>
      <c r="H58" s="16"/>
      <c r="I58" s="17">
        <f>SUM(I50:I57)</f>
        <v>-34</v>
      </c>
      <c r="J58" s="17">
        <f>SUM(J50:J57)</f>
        <v>-16</v>
      </c>
      <c r="K58" s="17">
        <f>SUM(K50:K57)</f>
        <v>-4</v>
      </c>
      <c r="L58" s="17">
        <f>SUM(L50:L57)</f>
        <v>-869</v>
      </c>
      <c r="M58" s="18">
        <f>SUM(M50:M57)</f>
        <v>-923</v>
      </c>
      <c r="O58" s="17">
        <f>SUM(O50:O57)</f>
        <v>-1</v>
      </c>
      <c r="P58" s="17">
        <f>SUM(P50:P57)</f>
        <v>36</v>
      </c>
      <c r="Q58" s="17">
        <f>SUM(Q50:Q57)</f>
        <v>43</v>
      </c>
      <c r="R58" s="17">
        <f>SUM(R50:R57)</f>
        <v>14</v>
      </c>
      <c r="S58" s="18">
        <f>SUM(S50:S57)</f>
        <v>92</v>
      </c>
      <c r="U58" s="17">
        <f>SUM(U50:U57)</f>
        <v>4</v>
      </c>
      <c r="V58" s="17">
        <f>SUM(V50:V57)</f>
        <v>67</v>
      </c>
      <c r="W58" s="17">
        <f>SUM(W50:W57)</f>
        <v>125</v>
      </c>
      <c r="X58" s="17">
        <f>SUM(X50:X57)</f>
        <v>51</v>
      </c>
      <c r="Y58" s="18">
        <f>SUM(Y50:Y57)</f>
        <v>247</v>
      </c>
      <c r="AA58" s="17">
        <f>SUM(AA50:AA57)</f>
        <v>23</v>
      </c>
      <c r="AB58" s="17">
        <f>SUM(AB50:AB57)</f>
        <v>-91</v>
      </c>
      <c r="AC58" s="17">
        <f>SUM(AC50:AC57)</f>
        <v>146</v>
      </c>
      <c r="AD58" s="17">
        <f>SUM(AD50:AD57)</f>
        <v>104</v>
      </c>
      <c r="AE58" s="18">
        <f>SUM(AE50:AE57)</f>
        <v>182</v>
      </c>
      <c r="AG58" s="17">
        <f>SUM(AG50:AG57)</f>
        <v>74</v>
      </c>
      <c r="AH58" s="17">
        <f>SUM(AH50:AH57)</f>
        <v>125</v>
      </c>
      <c r="AI58" s="17">
        <f>SUM(AI50:AI57)</f>
        <v>139</v>
      </c>
      <c r="AJ58" s="17">
        <f>SUM(AJ50:AJ57)</f>
        <v>147</v>
      </c>
      <c r="AK58" s="18">
        <f>SUM(AK50:AK57)</f>
        <v>485</v>
      </c>
      <c r="AM58" s="17">
        <f>SUM(AM50:AM57)</f>
        <v>124</v>
      </c>
      <c r="AN58" s="17">
        <f>SUM(AN50:AN57)</f>
        <v>324</v>
      </c>
      <c r="AO58" s="17">
        <f>SUM(AO50:AO57)</f>
        <v>202</v>
      </c>
      <c r="AP58" s="17">
        <f>SUM(AP50:AP57)</f>
        <v>168</v>
      </c>
      <c r="AQ58" s="18">
        <f>SUM(AQ50:AQ57)</f>
        <v>818</v>
      </c>
      <c r="AS58" s="17">
        <f>SUM(AS50:AS57)</f>
        <v>191</v>
      </c>
      <c r="AT58" s="17">
        <f>SUM(AT50:AT57)</f>
        <v>331</v>
      </c>
      <c r="AU58" s="17">
        <f>SUM(AU50:AU57)</f>
        <v>248</v>
      </c>
      <c r="AV58" s="17">
        <f>SUM(AV50:AV57)</f>
        <v>363</v>
      </c>
      <c r="AW58" s="18">
        <f>SUM(AW50:AW57)</f>
        <v>1133</v>
      </c>
      <c r="AY58" s="17">
        <f>SUM(AY50:AY57)</f>
        <v>226</v>
      </c>
      <c r="AZ58" s="17">
        <f>SUM(AZ50:AZ57)</f>
        <v>377</v>
      </c>
      <c r="BA58" s="17">
        <f>SUM(BA50:BA57)</f>
        <v>241</v>
      </c>
      <c r="BB58" s="17">
        <f>SUM(BB50:BB57)</f>
        <v>-26</v>
      </c>
      <c r="BC58" s="18">
        <f>SUM(BC50:BC57)</f>
        <v>818</v>
      </c>
      <c r="BE58" s="17">
        <f>SUM(BE50:BE57)</f>
        <v>36</v>
      </c>
      <c r="BF58" s="17">
        <f>SUM(BF50:BF57)</f>
        <v>146</v>
      </c>
      <c r="BG58" s="17">
        <f>SUM(BG50:BG57)</f>
        <v>131</v>
      </c>
      <c r="BH58" s="17">
        <f>SUM(BH50:BH57)</f>
        <v>103</v>
      </c>
      <c r="BI58" s="18">
        <f>SUM(BI50:BI57)</f>
        <v>416</v>
      </c>
      <c r="BK58" s="17">
        <f>SUM(BK50:BK57)</f>
        <v>120</v>
      </c>
      <c r="BL58" s="17">
        <f>SUM(BL50:BL57)</f>
        <v>160</v>
      </c>
      <c r="BM58" s="17">
        <f>SUM(BM50:BM57)</f>
        <v>148</v>
      </c>
      <c r="BN58" s="17">
        <f>SUM(BN50:BN57)</f>
        <v>52</v>
      </c>
      <c r="BO58" s="18">
        <f>SUM(BO50:BO57)</f>
        <v>480</v>
      </c>
      <c r="BQ58" s="17">
        <f>SUM(BQ50:BQ57)</f>
        <v>97</v>
      </c>
      <c r="BR58" s="17">
        <f>SUM(BR50:BR57)</f>
        <v>96</v>
      </c>
      <c r="BS58" s="17">
        <f>SUM(BS50:BS57)</f>
        <v>185</v>
      </c>
      <c r="BT58" s="17">
        <f>SUM(BT50:BT57)</f>
        <v>67</v>
      </c>
      <c r="BU58" s="18">
        <f>SUM(BU50:BU57)</f>
        <v>445</v>
      </c>
      <c r="BW58" s="17">
        <f>SUM(BW50:BW57)</f>
        <v>103</v>
      </c>
      <c r="BX58" s="17">
        <f>SUM(BX50:BX57)</f>
        <v>99</v>
      </c>
      <c r="BY58" s="17">
        <f>SUM(BY50:BY57)</f>
        <v>0</v>
      </c>
      <c r="BZ58" s="17">
        <f>SUM(BZ50:BZ57)</f>
        <v>0</v>
      </c>
      <c r="CA58" s="18">
        <f>SUM(CA50:CA57)</f>
        <v>202</v>
      </c>
      <c r="IL58" s="13"/>
    </row>
    <row r="59" spans="1:246">
      <c r="C59" s="14"/>
      <c r="D59" s="14"/>
      <c r="E59" s="14"/>
      <c r="F59" s="14"/>
      <c r="G59" s="19"/>
      <c r="H59" s="16"/>
      <c r="I59" s="14"/>
      <c r="J59" s="14"/>
      <c r="K59" s="14"/>
      <c r="L59" s="14"/>
      <c r="M59" s="19"/>
      <c r="O59" s="14"/>
      <c r="P59" s="14"/>
      <c r="Q59" s="14"/>
      <c r="R59" s="14"/>
      <c r="S59" s="19"/>
      <c r="U59" s="14"/>
      <c r="V59" s="14"/>
      <c r="W59" s="14"/>
      <c r="X59" s="14"/>
      <c r="Y59" s="19"/>
      <c r="AA59" s="14"/>
      <c r="AB59" s="14"/>
      <c r="AC59" s="14"/>
      <c r="AD59" s="14"/>
      <c r="AE59" s="19"/>
      <c r="AG59" s="14"/>
      <c r="AH59" s="14"/>
      <c r="AI59" s="14"/>
      <c r="AJ59" s="14"/>
      <c r="AK59" s="19"/>
      <c r="AM59" s="14"/>
      <c r="AN59" s="14"/>
      <c r="AO59" s="14"/>
      <c r="AP59" s="14"/>
      <c r="AQ59" s="19"/>
      <c r="AS59" s="14"/>
      <c r="AT59" s="14"/>
      <c r="AU59" s="14"/>
      <c r="AV59" s="14"/>
      <c r="AW59" s="19"/>
      <c r="AY59" s="14"/>
      <c r="AZ59" s="14"/>
      <c r="BA59" s="14"/>
      <c r="BB59" s="14"/>
      <c r="BC59" s="19"/>
      <c r="BE59" s="14"/>
      <c r="BF59" s="14"/>
      <c r="BG59" s="14"/>
      <c r="BH59" s="14"/>
      <c r="BI59" s="19"/>
      <c r="BK59" s="14"/>
      <c r="BL59" s="14"/>
      <c r="BM59" s="14"/>
      <c r="BN59" s="14"/>
      <c r="BO59" s="19"/>
      <c r="BQ59" s="14"/>
      <c r="BR59" s="14"/>
      <c r="BS59" s="14"/>
      <c r="BT59" s="14"/>
      <c r="BU59" s="19"/>
      <c r="BW59" s="14"/>
      <c r="BX59" s="14"/>
      <c r="BY59" s="14"/>
      <c r="BZ59" s="14"/>
      <c r="CA59" s="19"/>
    </row>
    <row r="60" spans="1:246">
      <c r="A60" s="11" t="s">
        <v>44</v>
      </c>
      <c r="C60" s="14"/>
      <c r="D60" s="14"/>
      <c r="E60" s="14"/>
      <c r="F60" s="14"/>
      <c r="G60" s="16"/>
      <c r="H60" s="16"/>
      <c r="I60" s="14"/>
      <c r="J60" s="14"/>
      <c r="K60" s="14"/>
      <c r="L60" s="14"/>
      <c r="M60" s="16"/>
      <c r="O60" s="14"/>
      <c r="P60" s="14"/>
      <c r="Q60" s="14"/>
      <c r="R60" s="14"/>
      <c r="S60" s="16"/>
      <c r="U60" s="14"/>
      <c r="V60" s="14"/>
      <c r="W60" s="14"/>
      <c r="X60" s="14"/>
      <c r="Y60" s="16"/>
      <c r="AA60" s="14"/>
      <c r="AB60" s="14"/>
      <c r="AC60" s="14"/>
      <c r="AD60" s="14"/>
      <c r="AE60" s="16"/>
      <c r="AG60" s="14"/>
      <c r="AH60" s="14"/>
      <c r="AI60" s="14"/>
      <c r="AJ60" s="14"/>
      <c r="AK60" s="16"/>
      <c r="AM60" s="14"/>
      <c r="AN60" s="16"/>
      <c r="AO60" s="16"/>
      <c r="AP60" s="48"/>
      <c r="AQ60" s="55"/>
      <c r="AS60" s="14"/>
      <c r="AT60" s="16"/>
      <c r="AU60" s="16"/>
      <c r="AV60" s="48"/>
      <c r="AW60" s="55"/>
      <c r="AY60" s="14"/>
      <c r="AZ60" s="16"/>
      <c r="BA60" s="16"/>
      <c r="BB60" s="48"/>
      <c r="BC60" s="55"/>
      <c r="BE60" s="14"/>
      <c r="BF60" s="16"/>
      <c r="BG60" s="16"/>
      <c r="BH60" s="48"/>
      <c r="BI60" s="55"/>
      <c r="BK60" s="14"/>
      <c r="BL60" s="16"/>
      <c r="BM60" s="16"/>
      <c r="BN60" s="48"/>
      <c r="BO60" s="55"/>
      <c r="BQ60" s="14"/>
      <c r="BR60" s="16"/>
      <c r="BS60" s="16"/>
      <c r="BT60" s="48"/>
      <c r="BU60" s="55"/>
      <c r="BW60" s="14"/>
      <c r="BX60" s="16"/>
      <c r="BY60" s="16"/>
      <c r="BZ60" s="48"/>
      <c r="CA60" s="55"/>
    </row>
    <row r="61" spans="1:246">
      <c r="A61" s="4" t="s">
        <v>161</v>
      </c>
      <c r="C61" s="14">
        <v>1656</v>
      </c>
      <c r="D61" s="14">
        <v>1697</v>
      </c>
      <c r="E61" s="14">
        <v>1604</v>
      </c>
      <c r="F61" s="14">
        <v>1430</v>
      </c>
      <c r="G61" s="16"/>
      <c r="H61" s="16"/>
      <c r="I61" s="14">
        <v>1413</v>
      </c>
      <c r="J61" s="14">
        <v>1432</v>
      </c>
      <c r="K61" s="14">
        <v>1326</v>
      </c>
      <c r="L61" s="14">
        <v>503</v>
      </c>
      <c r="M61" s="16"/>
      <c r="O61" s="14">
        <v>563</v>
      </c>
      <c r="P61" s="14">
        <v>656</v>
      </c>
      <c r="Q61" s="14">
        <v>648</v>
      </c>
      <c r="R61" s="14">
        <v>550</v>
      </c>
      <c r="S61" s="16"/>
      <c r="U61" s="14">
        <v>714</v>
      </c>
      <c r="V61" s="14">
        <v>840</v>
      </c>
      <c r="W61" s="14">
        <v>871</v>
      </c>
      <c r="X61" s="14">
        <v>679</v>
      </c>
      <c r="Y61" s="16"/>
      <c r="AA61" s="14">
        <v>714</v>
      </c>
      <c r="AB61" s="14">
        <v>763</v>
      </c>
      <c r="AC61" s="14">
        <v>794</v>
      </c>
      <c r="AD61" s="14">
        <v>604</v>
      </c>
      <c r="AE61" s="16"/>
      <c r="AG61" s="14">
        <v>719</v>
      </c>
      <c r="AH61" s="14">
        <v>761</v>
      </c>
      <c r="AI61" s="14">
        <v>886</v>
      </c>
      <c r="AJ61" s="14">
        <v>906</v>
      </c>
      <c r="AK61" s="16"/>
      <c r="AM61" s="14">
        <v>1176</v>
      </c>
      <c r="AN61" s="55">
        <v>1179</v>
      </c>
      <c r="AO61" s="55">
        <v>1290</v>
      </c>
      <c r="AP61" s="48">
        <v>1243</v>
      </c>
      <c r="AQ61" s="25"/>
      <c r="AS61" s="14">
        <v>2278</v>
      </c>
      <c r="AT61" s="55">
        <v>2480</v>
      </c>
      <c r="AU61" s="55">
        <v>2450</v>
      </c>
      <c r="AV61" s="48">
        <v>2220</v>
      </c>
      <c r="AW61" s="25"/>
      <c r="AY61" s="14">
        <v>2616</v>
      </c>
      <c r="AZ61" s="55">
        <v>2967</v>
      </c>
      <c r="BA61" s="55">
        <v>3100</v>
      </c>
      <c r="BB61" s="48">
        <v>2442</v>
      </c>
      <c r="BC61" s="25"/>
      <c r="BE61" s="14">
        <v>2438.1</v>
      </c>
      <c r="BF61" s="89">
        <v>2926</v>
      </c>
      <c r="BG61" s="55">
        <v>3163</v>
      </c>
      <c r="BH61" s="48">
        <v>3313</v>
      </c>
      <c r="BI61" s="25"/>
      <c r="BK61" s="14">
        <v>3842</v>
      </c>
      <c r="BL61" s="89">
        <v>4321</v>
      </c>
      <c r="BM61" s="55">
        <v>4716</v>
      </c>
      <c r="BN61" s="48">
        <v>4701</v>
      </c>
      <c r="BO61" s="25"/>
      <c r="BQ61" s="14">
        <v>5191</v>
      </c>
      <c r="BR61" s="89">
        <v>5223</v>
      </c>
      <c r="BS61" s="55">
        <v>4809</v>
      </c>
      <c r="BT61" s="48">
        <v>4470</v>
      </c>
      <c r="BU61" s="25"/>
      <c r="BW61" s="14">
        <v>4550</v>
      </c>
      <c r="BX61" s="89">
        <v>4685</v>
      </c>
      <c r="BY61" s="55"/>
      <c r="BZ61" s="48"/>
      <c r="CA61" s="25"/>
    </row>
    <row r="62" spans="1:246">
      <c r="A62" s="4" t="s">
        <v>40</v>
      </c>
      <c r="C62" s="14">
        <v>1809</v>
      </c>
      <c r="D62" s="14">
        <v>1802</v>
      </c>
      <c r="E62" s="14">
        <v>1644</v>
      </c>
      <c r="F62" s="14">
        <v>1580</v>
      </c>
      <c r="G62" s="16"/>
      <c r="H62" s="16"/>
      <c r="I62" s="14">
        <v>1629</v>
      </c>
      <c r="J62" s="14">
        <v>1491</v>
      </c>
      <c r="K62" s="14">
        <v>1469</v>
      </c>
      <c r="L62" s="14">
        <v>1362</v>
      </c>
      <c r="M62" s="16"/>
      <c r="O62" s="14">
        <v>1355</v>
      </c>
      <c r="P62" s="14">
        <v>1341</v>
      </c>
      <c r="Q62" s="14">
        <v>1324</v>
      </c>
      <c r="R62" s="14">
        <v>1280</v>
      </c>
      <c r="S62" s="16"/>
      <c r="U62" s="14">
        <v>1370</v>
      </c>
      <c r="V62" s="14">
        <v>2260</v>
      </c>
      <c r="W62" s="14">
        <v>2175</v>
      </c>
      <c r="X62" s="14">
        <v>2106</v>
      </c>
      <c r="Y62" s="16"/>
      <c r="AA62" s="14">
        <v>1331</v>
      </c>
      <c r="AB62" s="14">
        <v>2090</v>
      </c>
      <c r="AC62" s="14">
        <v>2025</v>
      </c>
      <c r="AD62" s="14">
        <v>1974</v>
      </c>
      <c r="AE62" s="16"/>
      <c r="AG62" s="14">
        <v>2139</v>
      </c>
      <c r="AH62" s="14">
        <v>2285</v>
      </c>
      <c r="AI62" s="14">
        <v>2334</v>
      </c>
      <c r="AJ62" s="14">
        <v>2414</v>
      </c>
      <c r="AK62" s="16"/>
      <c r="AM62" s="14">
        <v>2568</v>
      </c>
      <c r="AN62" s="55">
        <v>2407</v>
      </c>
      <c r="AO62" s="55">
        <v>2314</v>
      </c>
      <c r="AP62" s="48">
        <v>2342</v>
      </c>
      <c r="AQ62" s="55"/>
      <c r="AS62" s="14">
        <v>2400</v>
      </c>
      <c r="AT62" s="55">
        <v>2457</v>
      </c>
      <c r="AU62" s="55">
        <v>2553</v>
      </c>
      <c r="AV62" s="48">
        <v>2511</v>
      </c>
      <c r="AW62" s="55"/>
      <c r="AY62" s="14">
        <v>2671</v>
      </c>
      <c r="AZ62" s="55">
        <v>2850</v>
      </c>
      <c r="BA62" s="55">
        <v>2906</v>
      </c>
      <c r="BB62" s="48">
        <v>2829</v>
      </c>
      <c r="BC62" s="55"/>
      <c r="BE62" s="14">
        <v>2842</v>
      </c>
      <c r="BF62" s="89">
        <v>2671</v>
      </c>
      <c r="BG62" s="55">
        <v>2528</v>
      </c>
      <c r="BH62" s="48">
        <v>2580</v>
      </c>
      <c r="BI62" s="55"/>
      <c r="BK62" s="14">
        <v>2805</v>
      </c>
      <c r="BL62" s="89">
        <v>2978</v>
      </c>
      <c r="BM62" s="55">
        <v>2859</v>
      </c>
      <c r="BN62" s="48">
        <v>2898</v>
      </c>
      <c r="BO62" s="55"/>
      <c r="BQ62" s="14">
        <v>2985</v>
      </c>
      <c r="BR62" s="89">
        <v>3008</v>
      </c>
      <c r="BS62" s="55">
        <v>3187</v>
      </c>
      <c r="BT62" s="48">
        <v>3232</v>
      </c>
      <c r="BU62" s="55"/>
      <c r="BW62" s="14">
        <v>3314</v>
      </c>
      <c r="BX62" s="89">
        <v>3345</v>
      </c>
      <c r="BY62" s="55"/>
      <c r="BZ62" s="48"/>
      <c r="CA62" s="55"/>
    </row>
    <row r="63" spans="1:246" hidden="1">
      <c r="A63" s="4" t="s">
        <v>41</v>
      </c>
      <c r="C63" s="14">
        <v>300</v>
      </c>
      <c r="D63" s="14">
        <v>288</v>
      </c>
      <c r="E63" s="14">
        <v>286</v>
      </c>
      <c r="F63" s="14">
        <v>271</v>
      </c>
      <c r="G63" s="16"/>
      <c r="H63" s="16"/>
      <c r="I63" s="14">
        <v>215</v>
      </c>
      <c r="J63" s="14">
        <v>246</v>
      </c>
      <c r="K63" s="14">
        <v>215</v>
      </c>
      <c r="L63" s="14">
        <v>152</v>
      </c>
      <c r="M63" s="16"/>
      <c r="O63" s="14">
        <v>150</v>
      </c>
      <c r="P63" s="14">
        <v>156</v>
      </c>
      <c r="Q63" s="14">
        <v>150</v>
      </c>
      <c r="R63" s="14">
        <v>164</v>
      </c>
      <c r="S63" s="16"/>
      <c r="U63" s="14">
        <v>161</v>
      </c>
      <c r="V63" s="14">
        <v>155</v>
      </c>
      <c r="W63" s="14">
        <v>71</v>
      </c>
      <c r="X63" s="14">
        <v>9</v>
      </c>
      <c r="Y63" s="16"/>
      <c r="AA63" s="14">
        <v>161</v>
      </c>
      <c r="AB63" s="14">
        <v>155</v>
      </c>
      <c r="AC63" s="14">
        <v>71</v>
      </c>
      <c r="AD63" s="14">
        <v>9</v>
      </c>
      <c r="AE63" s="16"/>
      <c r="AG63" s="14">
        <v>-9</v>
      </c>
      <c r="AH63" s="14">
        <v>-14</v>
      </c>
      <c r="AI63" s="14">
        <v>-14</v>
      </c>
      <c r="AJ63" s="14">
        <v>-8</v>
      </c>
      <c r="AK63" s="16"/>
      <c r="AM63" s="14"/>
      <c r="AN63" s="14"/>
      <c r="AO63" s="48"/>
      <c r="AP63" s="48"/>
      <c r="AQ63" s="25"/>
      <c r="AS63" s="14"/>
      <c r="AT63" s="14"/>
      <c r="AU63" s="48"/>
      <c r="AV63" s="48"/>
      <c r="AW63" s="25"/>
      <c r="AY63" s="14"/>
      <c r="AZ63" s="14"/>
      <c r="BA63" s="48"/>
      <c r="BB63" s="48"/>
      <c r="BC63" s="25"/>
      <c r="BE63" s="14"/>
      <c r="BF63" s="84"/>
      <c r="BG63" s="48"/>
      <c r="BH63" s="48"/>
      <c r="BI63" s="25"/>
      <c r="BK63" s="14"/>
      <c r="BL63" s="84"/>
      <c r="BM63" s="48"/>
      <c r="BN63" s="48"/>
      <c r="BO63" s="25"/>
      <c r="BQ63" s="14"/>
      <c r="BR63" s="84"/>
      <c r="BS63" s="48"/>
      <c r="BT63" s="48"/>
      <c r="BU63" s="25"/>
      <c r="BW63" s="14"/>
      <c r="BX63" s="84"/>
      <c r="BY63" s="48"/>
      <c r="BZ63" s="48"/>
      <c r="CA63" s="25"/>
    </row>
    <row r="64" spans="1:246">
      <c r="A64" s="4" t="s">
        <v>183</v>
      </c>
      <c r="C64" s="14">
        <v>459</v>
      </c>
      <c r="D64" s="14">
        <v>495</v>
      </c>
      <c r="E64" s="14">
        <v>522</v>
      </c>
      <c r="F64" s="14">
        <v>481</v>
      </c>
      <c r="G64" s="16"/>
      <c r="H64" s="16"/>
      <c r="I64" s="14">
        <v>496</v>
      </c>
      <c r="J64" s="14">
        <v>466</v>
      </c>
      <c r="K64" s="14">
        <v>461</v>
      </c>
      <c r="L64" s="14">
        <v>326</v>
      </c>
      <c r="M64" s="16"/>
      <c r="O64" s="14">
        <v>322</v>
      </c>
      <c r="P64" s="14">
        <v>320</v>
      </c>
      <c r="Q64" s="14">
        <v>315</v>
      </c>
      <c r="R64" s="14">
        <v>315</v>
      </c>
      <c r="S64" s="16"/>
      <c r="U64" s="14">
        <v>305</v>
      </c>
      <c r="V64" s="14">
        <v>324</v>
      </c>
      <c r="W64" s="14">
        <v>327</v>
      </c>
      <c r="X64" s="14">
        <v>319</v>
      </c>
      <c r="Y64" s="16"/>
      <c r="AA64" s="14">
        <v>89</v>
      </c>
      <c r="AB64" s="14">
        <v>86</v>
      </c>
      <c r="AC64" s="14">
        <v>78</v>
      </c>
      <c r="AD64" s="14">
        <v>66</v>
      </c>
      <c r="AE64" s="16"/>
      <c r="AG64" s="14">
        <v>60</v>
      </c>
      <c r="AH64" s="14">
        <v>60</v>
      </c>
      <c r="AI64" s="14">
        <v>61</v>
      </c>
      <c r="AJ64" s="14">
        <v>82</v>
      </c>
      <c r="AK64" s="16"/>
      <c r="AM64" s="14">
        <v>87</v>
      </c>
      <c r="AN64" s="14">
        <v>98</v>
      </c>
      <c r="AO64" s="14">
        <v>109</v>
      </c>
      <c r="AP64" s="14">
        <v>119</v>
      </c>
      <c r="AQ64" s="16"/>
      <c r="AS64" s="14">
        <v>96</v>
      </c>
      <c r="AT64" s="14">
        <v>123</v>
      </c>
      <c r="AU64" s="14">
        <v>138</v>
      </c>
      <c r="AV64" s="14">
        <v>169</v>
      </c>
      <c r="AW64" s="16"/>
      <c r="AY64" s="14">
        <v>179</v>
      </c>
      <c r="AZ64" s="14">
        <v>247</v>
      </c>
      <c r="BA64" s="14">
        <v>302</v>
      </c>
      <c r="BB64" s="14">
        <v>305</v>
      </c>
      <c r="BC64" s="16"/>
      <c r="BE64" s="58">
        <v>332</v>
      </c>
      <c r="BF64" s="58">
        <v>367</v>
      </c>
      <c r="BG64" s="58">
        <v>429</v>
      </c>
      <c r="BH64" s="14">
        <v>441</v>
      </c>
      <c r="BI64" s="16"/>
      <c r="BK64" s="58">
        <v>453</v>
      </c>
      <c r="BL64" s="58">
        <v>391</v>
      </c>
      <c r="BM64" s="58">
        <v>420</v>
      </c>
      <c r="BN64" s="14">
        <v>442</v>
      </c>
      <c r="BO64" s="16"/>
      <c r="BQ64" s="58">
        <v>466</v>
      </c>
      <c r="BR64" s="58">
        <v>481</v>
      </c>
      <c r="BS64" s="58">
        <v>562</v>
      </c>
      <c r="BT64" s="14">
        <v>577</v>
      </c>
      <c r="BU64" s="16"/>
      <c r="BW64" s="58">
        <v>577</v>
      </c>
      <c r="BX64" s="58">
        <v>0</v>
      </c>
      <c r="BY64" s="58"/>
      <c r="BZ64" s="14"/>
      <c r="CA64" s="16"/>
    </row>
    <row r="65" spans="1:246">
      <c r="A65" s="4" t="s">
        <v>159</v>
      </c>
      <c r="C65" s="14">
        <v>117</v>
      </c>
      <c r="D65" s="14">
        <v>150</v>
      </c>
      <c r="E65" s="14">
        <v>204</v>
      </c>
      <c r="F65" s="14">
        <v>193</v>
      </c>
      <c r="G65" s="16"/>
      <c r="H65" s="16"/>
      <c r="I65" s="14">
        <v>185</v>
      </c>
      <c r="J65" s="14">
        <v>191</v>
      </c>
      <c r="K65" s="14">
        <v>185</v>
      </c>
      <c r="L65" s="14">
        <v>173</v>
      </c>
      <c r="M65" s="16"/>
      <c r="O65" s="14">
        <v>165</v>
      </c>
      <c r="P65" s="14">
        <v>159</v>
      </c>
      <c r="Q65" s="14">
        <v>149</v>
      </c>
      <c r="R65" s="14">
        <v>124</v>
      </c>
      <c r="S65" s="16"/>
      <c r="U65" s="14">
        <v>114</v>
      </c>
      <c r="V65" s="14">
        <v>119</v>
      </c>
      <c r="W65" s="14">
        <v>67</v>
      </c>
      <c r="X65" s="14">
        <v>83</v>
      </c>
      <c r="Y65" s="16"/>
      <c r="AA65" s="14">
        <v>114</v>
      </c>
      <c r="AB65" s="14">
        <v>119</v>
      </c>
      <c r="AC65" s="14">
        <v>67</v>
      </c>
      <c r="AD65" s="14">
        <v>83</v>
      </c>
      <c r="AE65" s="16"/>
      <c r="AG65" s="14">
        <v>74</v>
      </c>
      <c r="AH65" s="14">
        <v>74</v>
      </c>
      <c r="AI65" s="14">
        <v>75</v>
      </c>
      <c r="AJ65" s="14">
        <v>97</v>
      </c>
      <c r="AK65" s="16"/>
      <c r="AM65" s="14">
        <v>104</v>
      </c>
      <c r="AN65" s="14">
        <v>98</v>
      </c>
      <c r="AO65" s="14">
        <v>111</v>
      </c>
      <c r="AP65" s="14">
        <v>100</v>
      </c>
      <c r="AQ65" s="16"/>
      <c r="AS65" s="14">
        <v>100</v>
      </c>
      <c r="AT65" s="14">
        <v>101</v>
      </c>
      <c r="AU65" s="14">
        <v>108</v>
      </c>
      <c r="AV65" s="14">
        <v>96</v>
      </c>
      <c r="AW65" s="16"/>
      <c r="AY65" s="14">
        <v>127</v>
      </c>
      <c r="AZ65" s="14">
        <v>136</v>
      </c>
      <c r="BA65" s="14">
        <v>132</v>
      </c>
      <c r="BB65" s="14">
        <v>120</v>
      </c>
      <c r="BC65" s="16"/>
      <c r="BE65" s="58">
        <v>121.6</v>
      </c>
      <c r="BF65" s="84">
        <v>132</v>
      </c>
      <c r="BG65" s="58">
        <v>124</v>
      </c>
      <c r="BH65" s="14">
        <v>122</v>
      </c>
      <c r="BI65" s="16"/>
      <c r="BK65" s="58">
        <v>146</v>
      </c>
      <c r="BL65" s="84">
        <v>165</v>
      </c>
      <c r="BM65" s="58">
        <v>163</v>
      </c>
      <c r="BN65" s="14">
        <v>172</v>
      </c>
      <c r="BO65" s="16"/>
      <c r="BQ65" s="58">
        <v>171</v>
      </c>
      <c r="BR65" s="84">
        <v>185</v>
      </c>
      <c r="BS65" s="58">
        <v>184</v>
      </c>
      <c r="BT65" s="14">
        <v>183</v>
      </c>
      <c r="BU65" s="16"/>
      <c r="BW65" s="58">
        <v>185</v>
      </c>
      <c r="BX65" s="84">
        <v>189</v>
      </c>
      <c r="BY65" s="58"/>
      <c r="BZ65" s="14"/>
      <c r="CA65" s="16"/>
    </row>
    <row r="66" spans="1:246" hidden="1">
      <c r="A66" s="4" t="s">
        <v>50</v>
      </c>
      <c r="C66" s="14">
        <v>15</v>
      </c>
      <c r="D66" s="14">
        <v>22</v>
      </c>
      <c r="E66" s="14">
        <v>13</v>
      </c>
      <c r="F66" s="14">
        <v>34</v>
      </c>
      <c r="G66" s="16"/>
      <c r="H66" s="16"/>
      <c r="I66" s="14">
        <v>34</v>
      </c>
      <c r="J66" s="14">
        <v>26</v>
      </c>
      <c r="K66" s="14">
        <v>27</v>
      </c>
      <c r="L66" s="14">
        <v>8</v>
      </c>
      <c r="M66" s="16"/>
      <c r="O66" s="14">
        <v>7</v>
      </c>
      <c r="P66" s="14">
        <v>11</v>
      </c>
      <c r="Q66" s="14">
        <v>9</v>
      </c>
      <c r="R66" s="14">
        <v>-6</v>
      </c>
      <c r="S66" s="16"/>
      <c r="U66" s="14">
        <v>23</v>
      </c>
      <c r="V66" s="14">
        <v>1</v>
      </c>
      <c r="W66" s="14">
        <v>1</v>
      </c>
      <c r="X66" s="14">
        <v>2</v>
      </c>
      <c r="Y66" s="16"/>
      <c r="AA66" s="14"/>
      <c r="AB66" s="14"/>
      <c r="AC66" s="14"/>
      <c r="AD66" s="14"/>
      <c r="AE66" s="16"/>
      <c r="AG66" s="14"/>
      <c r="AH66" s="14"/>
      <c r="AI66" s="14"/>
      <c r="AJ66" s="14"/>
      <c r="AK66" s="16"/>
      <c r="AM66" s="14"/>
      <c r="AN66" s="14"/>
      <c r="AO66" s="14"/>
      <c r="AP66" s="14"/>
      <c r="AQ66" s="16"/>
      <c r="AS66" s="14"/>
      <c r="AT66" s="14"/>
      <c r="AU66" s="14"/>
      <c r="AV66" s="14"/>
      <c r="AW66" s="16"/>
      <c r="AY66" s="14"/>
      <c r="AZ66" s="14"/>
      <c r="BA66" s="14"/>
      <c r="BB66" s="14"/>
      <c r="BC66" s="16"/>
      <c r="BE66" s="58"/>
      <c r="BF66" s="84"/>
      <c r="BG66" s="14"/>
      <c r="BH66" s="14"/>
      <c r="BI66" s="16"/>
      <c r="BK66" s="58"/>
      <c r="BL66" s="84"/>
      <c r="BM66" s="14"/>
      <c r="BN66" s="14"/>
      <c r="BO66" s="16"/>
      <c r="BQ66" s="58"/>
      <c r="BR66" s="84"/>
      <c r="BS66" s="14"/>
      <c r="BT66" s="14"/>
      <c r="BU66" s="16"/>
      <c r="BW66" s="58"/>
      <c r="BX66" s="84"/>
      <c r="BY66" s="14"/>
      <c r="BZ66" s="14"/>
      <c r="CA66" s="16"/>
    </row>
    <row r="67" spans="1:246">
      <c r="A67" s="4" t="s">
        <v>43</v>
      </c>
      <c r="C67" s="14">
        <v>20</v>
      </c>
      <c r="D67" s="14">
        <v>-94</v>
      </c>
      <c r="E67" s="14">
        <v>-93</v>
      </c>
      <c r="F67" s="14">
        <v>-73</v>
      </c>
      <c r="G67" s="16"/>
      <c r="H67" s="16"/>
      <c r="I67" s="14">
        <v>-28</v>
      </c>
      <c r="J67" s="14">
        <v>-75</v>
      </c>
      <c r="K67" s="14">
        <v>-67</v>
      </c>
      <c r="L67" s="14">
        <v>102</v>
      </c>
      <c r="M67" s="16"/>
      <c r="O67" s="14">
        <v>126</v>
      </c>
      <c r="P67" s="14">
        <v>116</v>
      </c>
      <c r="Q67" s="14">
        <v>120</v>
      </c>
      <c r="R67" s="14">
        <v>122</v>
      </c>
      <c r="S67" s="16"/>
      <c r="U67" s="14">
        <v>81</v>
      </c>
      <c r="V67" s="14">
        <v>72</v>
      </c>
      <c r="W67" s="14">
        <v>77</v>
      </c>
      <c r="X67" s="14">
        <v>134</v>
      </c>
      <c r="Y67" s="16"/>
      <c r="AA67" s="14">
        <v>27</v>
      </c>
      <c r="AB67" s="14">
        <v>99</v>
      </c>
      <c r="AC67" s="14">
        <v>104</v>
      </c>
      <c r="AD67" s="14">
        <v>164</v>
      </c>
      <c r="AE67" s="16"/>
      <c r="AG67" s="14">
        <v>159</v>
      </c>
      <c r="AH67" s="14">
        <v>160</v>
      </c>
      <c r="AI67" s="14">
        <v>157</v>
      </c>
      <c r="AJ67" s="14">
        <v>8</v>
      </c>
      <c r="AK67" s="16"/>
      <c r="AM67" s="14">
        <v>16</v>
      </c>
      <c r="AN67" s="14">
        <v>36</v>
      </c>
      <c r="AO67" s="14">
        <v>21</v>
      </c>
      <c r="AP67" s="14">
        <v>25</v>
      </c>
      <c r="AQ67" s="16"/>
      <c r="AS67" s="14">
        <v>20</v>
      </c>
      <c r="AT67" s="14">
        <v>30</v>
      </c>
      <c r="AU67" s="14">
        <v>46</v>
      </c>
      <c r="AV67" s="14">
        <v>9</v>
      </c>
      <c r="AW67" s="16"/>
      <c r="AY67" s="14">
        <v>-2</v>
      </c>
      <c r="AZ67" s="14">
        <v>22</v>
      </c>
      <c r="BA67" s="14">
        <v>25</v>
      </c>
      <c r="BB67" s="14">
        <v>29</v>
      </c>
      <c r="BC67" s="16"/>
      <c r="BE67" s="58">
        <v>32</v>
      </c>
      <c r="BF67" s="84">
        <v>33</v>
      </c>
      <c r="BG67" s="14">
        <v>16</v>
      </c>
      <c r="BH67" s="14">
        <v>9</v>
      </c>
      <c r="BI67" s="16"/>
      <c r="BK67" s="58">
        <v>-20</v>
      </c>
      <c r="BL67" s="84">
        <v>-12</v>
      </c>
      <c r="BM67" s="14">
        <v>-15</v>
      </c>
      <c r="BN67" s="14">
        <v>5</v>
      </c>
      <c r="BO67" s="16"/>
      <c r="BQ67" s="58">
        <v>1</v>
      </c>
      <c r="BR67" s="84">
        <v>31</v>
      </c>
      <c r="BS67" s="14">
        <v>35</v>
      </c>
      <c r="BT67" s="14">
        <v>34</v>
      </c>
      <c r="BU67" s="16"/>
      <c r="BW67" s="58">
        <v>35</v>
      </c>
      <c r="BX67" s="84">
        <v>31</v>
      </c>
      <c r="BY67" s="14"/>
      <c r="BZ67" s="14"/>
      <c r="CA67" s="16"/>
    </row>
    <row r="68" spans="1:246" s="12" customFormat="1" ht="18.75" customHeight="1">
      <c r="B68" s="6"/>
      <c r="C68" s="17">
        <f>SUM(C60:C67)</f>
        <v>4376</v>
      </c>
      <c r="D68" s="17">
        <f>SUM(D60:D67)</f>
        <v>4360</v>
      </c>
      <c r="E68" s="17">
        <f>SUM(E60:E67)</f>
        <v>4180</v>
      </c>
      <c r="F68" s="17">
        <f>SUM(F60:F67)</f>
        <v>3916</v>
      </c>
      <c r="G68" s="16"/>
      <c r="H68" s="16"/>
      <c r="I68" s="17">
        <f>SUM(I60:I67)</f>
        <v>3944</v>
      </c>
      <c r="J68" s="17">
        <f>SUM(J60:J67)</f>
        <v>3777</v>
      </c>
      <c r="K68" s="17">
        <f>SUM(K60:K67)</f>
        <v>3616</v>
      </c>
      <c r="L68" s="17">
        <f>SUM(L60:L67)</f>
        <v>2626</v>
      </c>
      <c r="M68" s="16"/>
      <c r="O68" s="17">
        <f>SUM(O60:O67)</f>
        <v>2688</v>
      </c>
      <c r="P68" s="17">
        <f>SUM(P60:P67)</f>
        <v>2759</v>
      </c>
      <c r="Q68" s="17">
        <f>SUM(Q60:Q67)</f>
        <v>2715</v>
      </c>
      <c r="R68" s="17">
        <f>SUM(R60:R67)</f>
        <v>2549</v>
      </c>
      <c r="S68" s="16"/>
      <c r="U68" s="17">
        <f>SUM(U60:U67)</f>
        <v>2768</v>
      </c>
      <c r="V68" s="17">
        <f>SUM(V60:V67)</f>
        <v>3771</v>
      </c>
      <c r="W68" s="17">
        <f>SUM(W60:W67)</f>
        <v>3589</v>
      </c>
      <c r="X68" s="17">
        <f>SUM(X60:X67)</f>
        <v>3332</v>
      </c>
      <c r="Y68" s="16"/>
      <c r="AA68" s="17">
        <f>SUM(AA60:AA67)</f>
        <v>2436</v>
      </c>
      <c r="AB68" s="17">
        <f>SUM(AB60:AB67)</f>
        <v>3312</v>
      </c>
      <c r="AC68" s="17">
        <f>SUM(AC60:AC67)</f>
        <v>3139</v>
      </c>
      <c r="AD68" s="17">
        <f>SUM(AD60:AD67)</f>
        <v>2900</v>
      </c>
      <c r="AE68" s="16"/>
      <c r="AG68" s="17">
        <f>SUM(AG60:AG67)</f>
        <v>3142</v>
      </c>
      <c r="AH68" s="17">
        <f>SUM(AH60:AH67)</f>
        <v>3326</v>
      </c>
      <c r="AI68" s="17">
        <f>SUM(AI60:AI67)</f>
        <v>3499</v>
      </c>
      <c r="AJ68" s="17">
        <f>SUM(AJ60:AJ67)</f>
        <v>3499</v>
      </c>
      <c r="AK68" s="16"/>
      <c r="AM68" s="17">
        <f>SUM(AM60:AM67)</f>
        <v>3951</v>
      </c>
      <c r="AN68" s="17">
        <f>SUM(AN60:AN67)</f>
        <v>3818</v>
      </c>
      <c r="AO68" s="17">
        <f>SUM(AO60:AO67)</f>
        <v>3845</v>
      </c>
      <c r="AP68" s="17">
        <f>SUM(AP60:AP67)</f>
        <v>3829</v>
      </c>
      <c r="AQ68" s="16"/>
      <c r="AS68" s="17">
        <f>SUM(AS60:AS67)</f>
        <v>4894</v>
      </c>
      <c r="AT68" s="17">
        <f>SUM(AT60:AT67)</f>
        <v>5191</v>
      </c>
      <c r="AU68" s="17">
        <f>SUM(AU60:AU67)</f>
        <v>5295</v>
      </c>
      <c r="AV68" s="17">
        <f>SUM(AV60:AV67)</f>
        <v>5005</v>
      </c>
      <c r="AW68" s="16"/>
      <c r="AY68" s="17">
        <f>SUM(AY60:AY67)</f>
        <v>5591</v>
      </c>
      <c r="AZ68" s="17">
        <f>SUM(AZ60:AZ67)</f>
        <v>6222</v>
      </c>
      <c r="BA68" s="17">
        <f>SUM(BA60:BA67)</f>
        <v>6465</v>
      </c>
      <c r="BB68" s="17">
        <f>SUM(BB60:BB67)</f>
        <v>5725</v>
      </c>
      <c r="BC68" s="16"/>
      <c r="BE68" s="17">
        <f>SUM(BE60:BE67)</f>
        <v>5765.7000000000007</v>
      </c>
      <c r="BF68" s="90">
        <f>SUM(BF60:BF67)</f>
        <v>6129</v>
      </c>
      <c r="BG68" s="17">
        <f>SUM(BG60:BG67)</f>
        <v>6260</v>
      </c>
      <c r="BH68" s="17">
        <f>SUM(BH60:BH67)</f>
        <v>6465</v>
      </c>
      <c r="BI68" s="16"/>
      <c r="BK68" s="17">
        <f>SUM(BK60:BK67)</f>
        <v>7226</v>
      </c>
      <c r="BL68" s="90">
        <f>SUM(BL60:BL67)</f>
        <v>7843</v>
      </c>
      <c r="BM68" s="17">
        <f>SUM(BM60:BM67)</f>
        <v>8143</v>
      </c>
      <c r="BN68" s="17">
        <f>SUM(BN60:BN67)</f>
        <v>8218</v>
      </c>
      <c r="BO68" s="16"/>
      <c r="BQ68" s="17">
        <f>SUM(BQ60:BQ67)</f>
        <v>8814</v>
      </c>
      <c r="BR68" s="90">
        <f>SUM(BR60:BR67)</f>
        <v>8928</v>
      </c>
      <c r="BS68" s="17">
        <f>SUM(BS60:BS67)</f>
        <v>8777</v>
      </c>
      <c r="BT68" s="17">
        <f>SUM(BT60:BT67)</f>
        <v>8496</v>
      </c>
      <c r="BU68" s="16"/>
      <c r="BW68" s="17">
        <f>SUM(BW60:BW67)</f>
        <v>8661</v>
      </c>
      <c r="BX68" s="90">
        <f>SUM(BX60:BX67)</f>
        <v>8250</v>
      </c>
      <c r="BY68" s="17">
        <f>SUM(BY60:BY67)</f>
        <v>0</v>
      </c>
      <c r="BZ68" s="17">
        <f>SUM(BZ60:BZ67)</f>
        <v>0</v>
      </c>
      <c r="CA68" s="16"/>
      <c r="IL68" s="13"/>
    </row>
    <row r="69" spans="1:246" s="12" customFormat="1" ht="18.75" customHeight="1">
      <c r="A69" s="12" t="s">
        <v>114</v>
      </c>
      <c r="B69" s="6"/>
      <c r="C69" s="37"/>
      <c r="D69" s="37"/>
      <c r="E69" s="37"/>
      <c r="F69" s="37">
        <f>(C42+D42+E42+F42)/((C68+D68+E68+F68)/4)</f>
        <v>-2.3764258555133079E-3</v>
      </c>
      <c r="G69" s="39"/>
      <c r="H69" s="16"/>
      <c r="I69" s="37">
        <f>(D42+E42+F42+I42)/((D68+E68+F68+I68)/4)</f>
        <v>2.9268292682926829E-3</v>
      </c>
      <c r="J69" s="37">
        <f>(E42+F42+I42+J42)/((E68+F68+I68+J68)/4)</f>
        <v>-1.9725611683631537E-2</v>
      </c>
      <c r="K69" s="37">
        <f>(F42+I42+J42+K42)/((F68+I68+J68+K68)/4)</f>
        <v>-8.3917917786664915E-3</v>
      </c>
      <c r="L69" s="37">
        <f>(I42+J42+K42+L42)/((I68+J68+K68+L68)/4)</f>
        <v>-0.23060946787939554</v>
      </c>
      <c r="M69" s="39"/>
      <c r="O69" s="37">
        <f>(J42+K42+L42+O42)/((J68+K68+L68+O68)/4)</f>
        <v>-0.24396002203509876</v>
      </c>
      <c r="P69" s="37">
        <f>(K42+L42+O42+P42)/((K68+L68+O68+P68)/4)</f>
        <v>-0.24912310719479852</v>
      </c>
      <c r="Q69" s="37">
        <f>(L42+O42+P42+Q42)/((L68+O68+P68+Q68)/4)</f>
        <v>-0.25472747497219134</v>
      </c>
      <c r="R69" s="37">
        <f>(O42+P42+Q42+R42)/((O68+P68+Q68+R68)/4)</f>
        <v>5.5643730744094858E-2</v>
      </c>
      <c r="S69" s="39"/>
      <c r="U69" s="37">
        <f>(P42+Q42+R42+U42)/((P68+Q68+R68+U68)/4)</f>
        <v>5.7084607543323139E-2</v>
      </c>
      <c r="V69" s="37">
        <f>(Q42+R42+U42+V42)/((Q68+R68+U68+V68)/4)</f>
        <v>6.5068202999237476E-2</v>
      </c>
      <c r="W69" s="37">
        <f>(R42+U42+V42+W42)/((R68+U68+V68+W68)/4)</f>
        <v>8.9295574662775101E-2</v>
      </c>
      <c r="X69" s="37">
        <f>(U42+V42+W42+X42)/((U68+V68+W68+X68)/4)</f>
        <v>9.6285289747399708E-2</v>
      </c>
      <c r="Y69" s="39"/>
      <c r="AA69" s="37"/>
      <c r="AB69" s="37"/>
      <c r="AC69" s="37"/>
      <c r="AD69" s="37"/>
      <c r="AE69" s="39"/>
      <c r="AG69" s="37"/>
      <c r="AH69" s="37"/>
      <c r="AI69" s="37"/>
      <c r="AJ69" s="37">
        <f>(AK58+Valuation!AD22+Valuation!AD23)/(AVERAGE(AD68:AJ68))</f>
        <v>0.14695099596724917</v>
      </c>
      <c r="AK69" s="39"/>
      <c r="AM69" s="37">
        <f>(AH58+AI58+AJ58+AM58+Valuation!AG22+Valuation!AG23)/AVERAGE(AG68:AM68)</f>
        <v>0.1524372739277717</v>
      </c>
      <c r="AN69" s="37">
        <f>(AI58+AJ58+AM58+AN58+Valuation!AH22+Valuation!AH23)/AVERAGE(AH68:AN68)</f>
        <v>0.165809981760902</v>
      </c>
      <c r="AO69" s="37">
        <f>(AJ58+AM58+AN58+AO58+Valuation!AI22+Valuation!AI23)/AVERAGE(AI68:AO68)</f>
        <v>0.17703632065334193</v>
      </c>
      <c r="AP69" s="37">
        <f>(AQ58+Valuation!AJ22+Valuation!AJ23)/(AVERAGE(AJ68:AP68))</f>
        <v>0.18741421180445569</v>
      </c>
      <c r="AQ69" s="39"/>
      <c r="AS69" s="37">
        <f>(AN58+AO58+AP58+AS58+Valuation!AM22+Valuation!AM23)/AVERAGE(AM68:AS68)</f>
        <v>0.19103112553473964</v>
      </c>
      <c r="AT69" s="37">
        <f>(AO58+AP58+AS58+AT58+Valuation!AN22+Valuation!AN23)/AVERAGE(AN68:AT68)</f>
        <v>0.2067015803865227</v>
      </c>
      <c r="AU69" s="37">
        <f>(AP58+AS58+AT58+AU58+Valuation!AO22+Valuation!AO23)/AVERAGE(AO68:AU68)</f>
        <v>0.20343541250975969</v>
      </c>
      <c r="AV69" s="37">
        <f>(AW58+Valuation!AP22+Valuation!AP23)/(AVERAGE(AP68:AV68))</f>
        <v>0.2195011150574048</v>
      </c>
      <c r="AW69" s="39"/>
      <c r="AY69" s="37">
        <f>(AT58+AU58+AV58+AY58+Valuation!AS22+Valuation!AS23)/AVERAGE(AS68:AY68)</f>
        <v>0.21134893748075148</v>
      </c>
      <c r="AZ69" s="37">
        <f>(AU58+AV58+AY58+AZ58+Valuation!AT22+Valuation!AT23)/AVERAGE(AT68:AZ68)</f>
        <v>0.20949311456196892</v>
      </c>
      <c r="BA69" s="37">
        <f>(AV58+AY58+AZ58+BA58-70+31)/AVERAGE(AU68:BA68)</f>
        <v>0.20435299881027363</v>
      </c>
      <c r="BB69" s="37">
        <f>(BC58+135)/(AVERAGE(AV68:BB68))</f>
        <v>0.16426503033645889</v>
      </c>
      <c r="BC69" s="39"/>
      <c r="BE69" s="39">
        <f>(AZ58+BA58+BB58+BE58+155)/AVERAGE(AY68:BE68)</f>
        <v>0.13151397272974635</v>
      </c>
      <c r="BF69" s="37">
        <f>(BA58+BB58+BE58+BF58+155+57)/AVERAGE(AZ68:BF68)</f>
        <v>0.10047283273995519</v>
      </c>
      <c r="BG69" s="37">
        <f>(BB58+BE58+BF58+BG58+219)/AVERAGE(BA68:BG68)</f>
        <v>8.3375350555451186E-2</v>
      </c>
      <c r="BH69" s="37">
        <f>(BI58+152)/(AVERAGE(BB68:BH68))</f>
        <v>9.359130259979502E-2</v>
      </c>
      <c r="BI69" s="39"/>
      <c r="BK69" s="39">
        <f>(BF58+BG58+BH58+BK58+155)/AVERAGE(BE68:BK68)</f>
        <v>0.10283962984013539</v>
      </c>
      <c r="BL69" s="39">
        <f>(BG58+BH58+BK58+BL58+121)/AVERAGE(BF68:BL68)</f>
        <v>9.3594316540400319E-2</v>
      </c>
      <c r="BM69" s="39">
        <f>(BH58+BK58+BL58+BM58+110)/AVERAGE(BG68:BM68)</f>
        <v>8.9183849514428037E-2</v>
      </c>
      <c r="BN69" s="37">
        <f>(BO58+86)/(AVERAGE(BH68:BN68))</f>
        <v>7.4680036944187886E-2</v>
      </c>
      <c r="BO69" s="39"/>
      <c r="BQ69" s="39">
        <f>(BL58+BM58+BN58+BQ58+69)/AVERAGE(BK68:BQ68)</f>
        <v>6.5351356723983692E-2</v>
      </c>
      <c r="BR69" s="39">
        <f>(BM58+BN58+BQ58+BR58+54)/AVERAGE(BL68:BR68)</f>
        <v>5.3282792161350304E-2</v>
      </c>
      <c r="BS69" s="39">
        <f>(BN58+BQ58+BR58+BS58+31)/AVERAGE(BM68:BS68)</f>
        <v>5.3754664179104475E-2</v>
      </c>
      <c r="BT69" s="39">
        <f>(BU58+33)/(AVERAGE(BN68:BT68))</f>
        <v>5.528184488700761E-2</v>
      </c>
      <c r="BU69" s="39"/>
      <c r="BW69" s="39">
        <f>(BR58+BS58+BT58+BW58+29)/AVERAGE(BQ68:BW68)</f>
        <v>5.495008700430442E-2</v>
      </c>
      <c r="BX69" s="39">
        <f>(BS58+BT58+BW58+BX58+31)/AVERAGE(BR68:BX68)</f>
        <v>5.6248840230098351E-2</v>
      </c>
      <c r="BY69" s="39"/>
      <c r="BZ69" s="39"/>
      <c r="CA69" s="39"/>
      <c r="IL69" s="36"/>
    </row>
    <row r="70" spans="1:246" s="12" customFormat="1" ht="18.75" customHeight="1">
      <c r="A70" s="12" t="s">
        <v>119</v>
      </c>
      <c r="B70" s="6"/>
      <c r="C70" s="37"/>
      <c r="D70" s="37"/>
      <c r="E70" s="37"/>
      <c r="F70" s="37">
        <f>(C35+D35+E35+F35)/((C61+D61+E61+F61)/4)</f>
        <v>5.1354313449193674E-2</v>
      </c>
      <c r="G70" s="39"/>
      <c r="H70" s="16"/>
      <c r="I70" s="37">
        <f>(D35+E35+F35+I35)/((D61+E61+F61+I61)/4)</f>
        <v>4.296875E-2</v>
      </c>
      <c r="J70" s="37">
        <f>(E35+F35+I35+J35)/((E61+F61+I61+J61)/4)</f>
        <v>-1.9731246810682088E-2</v>
      </c>
      <c r="K70" s="37">
        <f>(F35+I35+J35+K35)/((F61+I61+J61+K61)/4)</f>
        <v>-2.4281378325299054E-2</v>
      </c>
      <c r="L70" s="37">
        <f>(I35+J35+K35+L35)/((I61+J61+K61+L61)/4)</f>
        <v>-0.59820282413350445</v>
      </c>
      <c r="M70" s="39"/>
      <c r="O70" s="37">
        <f>(J35+K35+L35+O35)/((J61+K61+L61+O61)/4)</f>
        <v>-0.68200836820083677</v>
      </c>
      <c r="P70" s="37">
        <f>(K35+L35+O35+P35)/((K61+L61+O61+P61)/4)</f>
        <v>-0.8241469816272966</v>
      </c>
      <c r="Q70" s="37">
        <f>(L35+O35+P35+Q35)/((L61+O61+P61+Q61)/4)</f>
        <v>-0.96540084388185654</v>
      </c>
      <c r="R70" s="37">
        <f>(O35+P35+Q35+R35)/((O61+P61+Q61+R61)/4)</f>
        <v>0.17211419114604881</v>
      </c>
      <c r="S70" s="39"/>
      <c r="U70" s="37">
        <f>(P35+Q35+R35+U35)/((P61+Q61+R61+U61)/4)</f>
        <v>0.16978193146417445</v>
      </c>
      <c r="V70" s="37">
        <f>(Q35+R35+U35+V35)/((Q61+R61+U61+V61)/4)</f>
        <v>0.1816860465116279</v>
      </c>
      <c r="W70" s="37">
        <f>(R35+U35+V35+W35)/((R61+U61+V61+W61)/4)</f>
        <v>0.17747899159663866</v>
      </c>
      <c r="X70" s="37">
        <f>(U35+V35+W35+X35)/((U61+V61+W61+X61)/4)</f>
        <v>0.15077319587628865</v>
      </c>
      <c r="Y70" s="39"/>
      <c r="AA70" s="37"/>
      <c r="AB70" s="37"/>
      <c r="AC70" s="37"/>
      <c r="AD70" s="37"/>
      <c r="AE70" s="39"/>
      <c r="AG70" s="37"/>
      <c r="AH70" s="37"/>
      <c r="AI70" s="37"/>
      <c r="AJ70" s="37">
        <f>AK51/(AVERAGE(AD61:AJ61))</f>
        <v>0.22574819401444787</v>
      </c>
      <c r="AK70" s="39"/>
      <c r="AM70" s="37">
        <f>(AH51+AI51+AJ51+AM51)/AVERAGE(AG62:AM62)</f>
        <v>9.3696763202725727E-2</v>
      </c>
      <c r="AN70" s="37">
        <f>(AI51+AJ51+AM51+AN51)/AVERAGE(AH61:AN61)</f>
        <v>0.26487367563162184</v>
      </c>
      <c r="AO70" s="37">
        <f>(AJ51+AM51+AN51+AO51)/AVERAGE(AI61:AO61)</f>
        <v>0.274967813132242</v>
      </c>
      <c r="AP70" s="37">
        <f>AQ51/(AVERAGE(AJ61:AP61))</f>
        <v>0.25975146703486368</v>
      </c>
      <c r="AQ70" s="39"/>
      <c r="AS70" s="37">
        <f>(AN51+AO51+AP51+AS51)/AVERAGE(AM61:AS61)</f>
        <v>0.22816075914038514</v>
      </c>
      <c r="AT70" s="37">
        <f>(AO51+AP51+AS51+AT51)/AVERAGE(AN61:AT61)</f>
        <v>0.23789846517119245</v>
      </c>
      <c r="AU70" s="37">
        <f>(AP51+AS51+AT51+AU51)/AVERAGE(AO61:AU61)</f>
        <v>0.22790267939636588</v>
      </c>
      <c r="AV70" s="37">
        <f>(AW51+Valuation!AP22+Valuation!AP21)/(AVERAGE(AP61:AV61))</f>
        <v>0.23615406241214509</v>
      </c>
      <c r="AW70" s="39"/>
      <c r="AY70" s="37">
        <f>(AT51+AU51+AV51+AY51+Valuation!AS22)/AVERAGE(AS61:AY61)</f>
        <v>0.21296911325141146</v>
      </c>
      <c r="AZ70" s="37">
        <f>(AU51+AV51+AY51+AZ51+Valuation!AT22)/AVERAGE(AT61:AZ61)</f>
        <v>0.19751825964030473</v>
      </c>
      <c r="BA70" s="37">
        <f>(AV51+AY51+AZ51+BA51-70)/AVERAGE(AU61:BA61)</f>
        <v>0.1789859956564068</v>
      </c>
      <c r="BB70" s="37">
        <f>(BC51+75)/(AVERAGE(AV61:BB61))</f>
        <v>0.13975271637317346</v>
      </c>
      <c r="BC70" s="39"/>
      <c r="BE70" s="39">
        <f>(AZ51+BA51+BB51+BE51+75)/AVERAGE(AY61:BE61)</f>
        <v>9.6216941554659333E-2</v>
      </c>
      <c r="BF70" s="37">
        <f>(BA51+BB51+BE51+BF51+75)/AVERAGE(AZ61:BF61)</f>
        <v>7.6406859317672327E-2</v>
      </c>
      <c r="BG70" s="37">
        <f>(BB51+BE51+BF51+BG51+50+25)/AVERAGE(BA61:BG61)</f>
        <v>5.7928367841581903E-2</v>
      </c>
      <c r="BH70" s="37">
        <f>(BI51+0)/(AVERAGE(BB61:BH61))</f>
        <v>6.896744876453742E-2</v>
      </c>
      <c r="BI70" s="39"/>
      <c r="BK70" s="39">
        <f>(BF51+BG51+BH51+BK51)/AVERAGE(BE61:BK61)</f>
        <v>7.5245024582166933E-2</v>
      </c>
      <c r="BL70" s="39">
        <f>(BG51+BH51+BK51+BL51)/AVERAGE(BF61:BL61)</f>
        <v>4.6114432109308282E-2</v>
      </c>
      <c r="BM70" s="39">
        <f>(BH51+BK51+BL51+BM51)/AVERAGE(BG61:BM61)</f>
        <v>4.5982950142082146E-2</v>
      </c>
      <c r="BN70" s="37">
        <f>(BO51+0)/(AVERAGE(BH61:BN61))</f>
        <v>2.6085291724501025E-2</v>
      </c>
      <c r="BO70" s="39"/>
      <c r="BQ70" s="39">
        <f>(BL51+BM51+BN51+BQ51)/AVERAGE(BK61:BQ61)</f>
        <v>1.3174651969610471E-2</v>
      </c>
      <c r="BR70" s="39">
        <f>(BM51+BN51+BQ51+BR51)/AVERAGE(BL61:BR61)</f>
        <v>-5.3825770122557142E-3</v>
      </c>
      <c r="BS70" s="39">
        <f>(BN51+BQ51+BR51+BS51)/AVERAGE(BM61:BS61)</f>
        <v>-2.2524350649350648E-2</v>
      </c>
      <c r="BT70" s="37">
        <f>(BU51+0)/(AVERAGE(BN61:BT61))</f>
        <v>-3.1565138968598833E-2</v>
      </c>
      <c r="BU70" s="39"/>
      <c r="BW70" s="39">
        <f>(BR51+BS51+BT51+BW51)/AVERAGE(BQ61:BW61)</f>
        <v>-3.0318029946788762E-2</v>
      </c>
      <c r="BX70" s="39">
        <f>(BS51+BT51+BW51+BX51)/AVERAGE(BR61:BX61)</f>
        <v>-2.4434427265450566E-2</v>
      </c>
      <c r="BY70" s="39"/>
      <c r="BZ70" s="37"/>
      <c r="CA70" s="39"/>
      <c r="IL70" s="36"/>
    </row>
    <row r="71" spans="1:246" s="12" customFormat="1" ht="18.75" customHeight="1">
      <c r="A71" s="12" t="s">
        <v>83</v>
      </c>
      <c r="B71" s="6"/>
      <c r="C71" s="37"/>
      <c r="D71" s="37"/>
      <c r="E71" s="37"/>
      <c r="F71" s="37">
        <f>(C36+D36+E36+F36)/((C62+D62+E62+F62)/4)</f>
        <v>3.9209948792977324E-2</v>
      </c>
      <c r="G71" s="39"/>
      <c r="H71" s="16"/>
      <c r="I71" s="37">
        <f>(D36+E36+F36+I36)/((D62+E62+F62+I62)/4)</f>
        <v>3.6063110443275731E-2</v>
      </c>
      <c r="J71" s="37">
        <f>(E36+F36+I36+J36)/((E62+F62+I62+J62)/4)</f>
        <v>5.8007566204287514E-2</v>
      </c>
      <c r="K71" s="37">
        <f>(F36+I36+J36+K36)/((F62+I62+J62+K62)/4)</f>
        <v>8.1698816663964988E-2</v>
      </c>
      <c r="L71" s="37">
        <f>(I36+J36+K36+L36)/((I62+J62+K62+L62)/4)</f>
        <v>0.10283985884725257</v>
      </c>
      <c r="M71" s="39"/>
      <c r="O71" s="37">
        <f>(J36+K36+L36+O36)/((J62+K62+L62+O62)/4)</f>
        <v>0.13175973225295051</v>
      </c>
      <c r="P71" s="37">
        <f>(K36+L36+O36+P36)/((K62+L62+O62+P62)/4)</f>
        <v>0.14474398407816175</v>
      </c>
      <c r="Q71" s="37">
        <f>(L36+O36+P36+Q36)/((L62+O62+P62+Q62)/4)</f>
        <v>0.15235971757710889</v>
      </c>
      <c r="R71" s="37">
        <f>(O36+P36+Q36+R36)/((O62+P62+Q62+R62)/4)</f>
        <v>0.16452830188679246</v>
      </c>
      <c r="S71" s="39"/>
      <c r="U71" s="37">
        <f>(P36+Q36+R36+U36)/((P62+Q62+R62+U62)/4)</f>
        <v>0.16857949200376293</v>
      </c>
      <c r="V71" s="37">
        <f>(Q36+R36+U36+V36)/((Q62+R62+U62+V62)/4)</f>
        <v>0.15399422521655437</v>
      </c>
      <c r="W71" s="37">
        <f>(R36+U36+V36+W36)/((R62+U62+V62+W62)/4)</f>
        <v>0.14622441778405082</v>
      </c>
      <c r="X71" s="37">
        <f>(U36+V36+W36+X36)/((U62+V62+W62+X62)/4)</f>
        <v>0.13550752117305018</v>
      </c>
      <c r="Y71" s="39"/>
      <c r="AA71" s="37"/>
      <c r="AB71" s="37"/>
      <c r="AC71" s="37"/>
      <c r="AD71" s="37"/>
      <c r="AE71" s="39"/>
      <c r="AG71" s="37"/>
      <c r="AH71" s="37"/>
      <c r="AI71" s="37"/>
      <c r="AJ71" s="37">
        <f>(AK52+Valuation!AD23+Valuation!AD22)/(AVERAGE(AD62:AJ62))</f>
        <v>0.14803516956755788</v>
      </c>
      <c r="AK71" s="39"/>
      <c r="AM71" s="37">
        <f>(AH52+AI52+AJ52+AM52+Valuation!AG22+Valuation!AG23)/AVERAGE(AG62:AM62)</f>
        <v>0.14395229982964225</v>
      </c>
      <c r="AN71" s="37">
        <f>(AI52+AJ52+AM52+AN52+Valuation!AH22+Valuation!AH23)/AVERAGE(AH62:AN62)</f>
        <v>0.14823451032644905</v>
      </c>
      <c r="AO71" s="37">
        <f>(AJ52+AM52+AN52+AO52+Valuation!AI22+Valuation!AI23)/AVERAGE(AI62:AO62)</f>
        <v>0.15078507933870566</v>
      </c>
      <c r="AP71" s="37">
        <f>(AQ52+Valuation!AJ23+Valuation!AJ22)/(AVERAGE(AJ62:AP62))</f>
        <v>0.16604400166044</v>
      </c>
      <c r="AQ71" s="39"/>
      <c r="AS71" s="37">
        <f>(AN52+AO52+AP52+AS52+Valuation!AM22+Valuation!AM23)/AVERAGE(AM62:AS62)</f>
        <v>0.18078297730861942</v>
      </c>
      <c r="AT71" s="37">
        <f>(AO52+AP52+AS52+AT52+Valuation!AN22+Valuation!AN23)/AVERAGE(AN62:AT62)</f>
        <v>0.18875838926174496</v>
      </c>
      <c r="AU71" s="37">
        <f>(AP52+AS52+AT52+AU52+Valuation!AO22+Valuation!AO23)/AVERAGE(AO62:AU62)</f>
        <v>0.18647439085032325</v>
      </c>
      <c r="AV71" s="37">
        <f>AW52/(AVERAGE(AP62:AV62))</f>
        <v>0.20141890238930116</v>
      </c>
      <c r="AW71" s="39"/>
      <c r="AY71" s="37">
        <f>(AT52+AU52+AV52+AY52)/AVERAGE(AS62:AY62)</f>
        <v>0.19734752223634053</v>
      </c>
      <c r="AZ71" s="37">
        <f>(AU52+AV52+AY52+AZ52)/AVERAGE(AT62:AZ62)</f>
        <v>0.19360527526452997</v>
      </c>
      <c r="BA71" s="37">
        <f>(AV52+AY52+AZ52+BA52+31)/AVERAGE(AU62:BA62)</f>
        <v>0.18716181157808912</v>
      </c>
      <c r="BB71" s="37">
        <f>(BC52+50)/(AVERAGE(AV62:BB62))</f>
        <v>0.1601656134234038</v>
      </c>
      <c r="BC71" s="39"/>
      <c r="BE71" s="39">
        <f>(AZ52+BA52+BB52+BE52+50+20)/AVERAGE(AY62:BE62)</f>
        <v>0.13548020995885943</v>
      </c>
      <c r="BF71" s="37">
        <f>(BA52+BB52+BE52+BF52+50+20+57)/AVERAGE(AZ62:BF62)</f>
        <v>0.11065399347425167</v>
      </c>
      <c r="BG71" s="37">
        <f>(BB52+BE52+BF52+BG52+19+20+57+38)/AVERAGE(BA62:BG62)</f>
        <v>0.10779616724738676</v>
      </c>
      <c r="BH71" s="37">
        <f>(BI52+152)/(AVERAGE(BB62:BH62))</f>
        <v>0.10892193308550185</v>
      </c>
      <c r="BI71" s="39"/>
      <c r="BK71" s="39">
        <f>(BF52+BG52+BH52+BK52+153)/AVERAGE(BE62:BK62)</f>
        <v>0.13518546104573217</v>
      </c>
      <c r="BL71" s="39">
        <f>(BG52+BH52+BK52+BL52+121)/AVERAGE(BF62:BL62)</f>
        <v>0.15853119008995722</v>
      </c>
      <c r="BM71" s="39">
        <f>(BH52+BK52+BL52+BM52+110)/AVERAGE(BG62:BM62)</f>
        <v>0.15927272727272726</v>
      </c>
      <c r="BN71" s="37">
        <f>(BO52+86)/(AVERAGE(BH62:BN62))</f>
        <v>0.15084985835694051</v>
      </c>
      <c r="BO71" s="39"/>
      <c r="BQ71" s="39">
        <f>(BL52+BM52+BN52+BQ52+69)/AVERAGE(BK62:BQ62)</f>
        <v>0.14698795180722893</v>
      </c>
      <c r="BR71" s="39">
        <f>(BM52+BN52+BQ52+BR52+54)/AVERAGE(BL62:BR62)</f>
        <v>0.14733840304182511</v>
      </c>
      <c r="BS71" s="39">
        <f>(BN52+BQ52+BR52+BS52+31)/AVERAGE(BM62:BS62)</f>
        <v>0.15264109258887326</v>
      </c>
      <c r="BT71" s="37">
        <f>(BU52+33)/(AVERAGE(BN62:BT62))</f>
        <v>0.17080339647289353</v>
      </c>
      <c r="BU71" s="39"/>
      <c r="BW71" s="39">
        <f>(BR52+BS52+BT52+BW52+29)/AVERAGE(BQ62:BW62)</f>
        <v>0.17041841536309299</v>
      </c>
      <c r="BX71" s="39">
        <f>(BS52+BT52+BW52+BX52+31)/AVERAGE(BR62:BX62)</f>
        <v>0.16660450080815617</v>
      </c>
      <c r="BY71" s="39"/>
      <c r="BZ71" s="37"/>
      <c r="CA71" s="39"/>
      <c r="IL71" s="36"/>
    </row>
    <row r="72" spans="1:246" s="12" customFormat="1" ht="12.75" customHeight="1">
      <c r="B72" s="6"/>
      <c r="C72" s="37"/>
      <c r="D72" s="37"/>
      <c r="E72" s="37"/>
      <c r="F72" s="37"/>
      <c r="G72" s="39"/>
      <c r="H72" s="16"/>
      <c r="I72" s="37"/>
      <c r="J72" s="37"/>
      <c r="K72" s="37"/>
      <c r="L72" s="37"/>
      <c r="M72" s="39"/>
      <c r="O72" s="37"/>
      <c r="P72" s="37"/>
      <c r="Q72" s="37"/>
      <c r="R72" s="37"/>
      <c r="S72" s="39"/>
      <c r="U72" s="37"/>
      <c r="V72" s="37"/>
      <c r="W72" s="37"/>
      <c r="X72" s="37"/>
      <c r="Y72" s="39"/>
      <c r="AA72" s="37"/>
      <c r="AB72" s="37"/>
      <c r="AC72" s="37"/>
      <c r="AD72" s="37"/>
      <c r="AE72" s="39"/>
      <c r="AG72" s="37"/>
      <c r="AH72" s="37"/>
      <c r="AI72" s="37"/>
      <c r="AJ72" s="37"/>
      <c r="AK72" s="39"/>
      <c r="AM72" s="37"/>
      <c r="AN72" s="37"/>
      <c r="AO72" s="37"/>
      <c r="AP72" s="37"/>
      <c r="AQ72" s="39"/>
      <c r="AS72" s="37"/>
      <c r="AT72" s="37"/>
      <c r="AU72" s="37"/>
      <c r="AV72" s="37"/>
      <c r="AW72" s="39"/>
      <c r="AY72" s="37"/>
      <c r="AZ72" s="37"/>
      <c r="BA72" s="37"/>
      <c r="BB72" s="37"/>
      <c r="BC72" s="39"/>
      <c r="BE72" s="39"/>
      <c r="BF72" s="37"/>
      <c r="BG72" s="37"/>
      <c r="BH72" s="37"/>
      <c r="BI72" s="39"/>
      <c r="BK72" s="14"/>
      <c r="BL72" s="99"/>
      <c r="BM72" s="37"/>
      <c r="BN72" s="37"/>
      <c r="BO72" s="39"/>
      <c r="IL72" s="36"/>
    </row>
    <row r="73" spans="1:246" ht="25.5">
      <c r="A73" s="63" t="s">
        <v>82</v>
      </c>
      <c r="BK73" s="14"/>
      <c r="BL73" s="14"/>
      <c r="BX73" s="14"/>
    </row>
    <row r="74" spans="1:246" ht="6" customHeight="1"/>
    <row r="75" spans="1:246" ht="51">
      <c r="A75" s="63" t="s">
        <v>115</v>
      </c>
    </row>
  </sheetData>
  <mergeCells count="26">
    <mergeCell ref="AY1:BC1"/>
    <mergeCell ref="AY2:BC2"/>
    <mergeCell ref="O2:S2"/>
    <mergeCell ref="U2:Y2"/>
    <mergeCell ref="AS2:AW2"/>
    <mergeCell ref="AM2:AQ2"/>
    <mergeCell ref="AM1:AQ1"/>
    <mergeCell ref="AS1:AW1"/>
    <mergeCell ref="AG1:AK1"/>
    <mergeCell ref="AG2:AK2"/>
    <mergeCell ref="BW1:CA1"/>
    <mergeCell ref="BW2:CA2"/>
    <mergeCell ref="C2:G2"/>
    <mergeCell ref="I2:M2"/>
    <mergeCell ref="U1:Y1"/>
    <mergeCell ref="AA1:AE1"/>
    <mergeCell ref="I1:M1"/>
    <mergeCell ref="C1:G1"/>
    <mergeCell ref="AA2:AE2"/>
    <mergeCell ref="O1:S1"/>
    <mergeCell ref="BQ1:BU1"/>
    <mergeCell ref="BQ2:BU2"/>
    <mergeCell ref="BE1:BI1"/>
    <mergeCell ref="BE2:BI2"/>
    <mergeCell ref="BK1:BO1"/>
    <mergeCell ref="BK2:BO2"/>
  </mergeCells>
  <phoneticPr fontId="0" type="noConversion"/>
  <pageMargins left="0.23622047244094491" right="0.23622047244094491" top="0.43307086614173229" bottom="0.27" header="0.31496062992125984" footer="0.2"/>
  <pageSetup paperSize="9" scale="70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U46"/>
  <sheetViews>
    <sheetView showGridLines="0" zoomScaleNormal="100" workbookViewId="0">
      <pane xSplit="1" ySplit="5" topLeftCell="AJ6" activePane="bottomRight" state="frozen"/>
      <selection activeCell="AJ26" sqref="AJ26"/>
      <selection pane="topRight" activeCell="AJ26" sqref="AJ26"/>
      <selection pane="bottomLeft" activeCell="AJ26" sqref="AJ26"/>
      <selection pane="bottomRight" activeCell="AP39" sqref="AP39"/>
    </sheetView>
  </sheetViews>
  <sheetFormatPr defaultColWidth="9.140625" defaultRowHeight="12.75" outlineLevelCol="1"/>
  <cols>
    <col min="1" max="1" width="29.42578125" style="4" customWidth="1"/>
    <col min="2" max="2" width="4.28515625" style="10" customWidth="1" outlineLevel="1"/>
    <col min="3" max="6" width="9.140625" style="4" customWidth="1"/>
    <col min="7" max="7" width="9.140625" style="12" customWidth="1"/>
    <col min="8" max="8" width="4.85546875" style="3" customWidth="1"/>
    <col min="9" max="12" width="9.140625" style="4" customWidth="1"/>
    <col min="13" max="13" width="9.140625" style="12" customWidth="1"/>
    <col min="14" max="14" width="4.85546875" style="4" customWidth="1"/>
    <col min="15" max="18" width="9.140625" style="4" customWidth="1"/>
    <col min="19" max="19" width="9.140625" style="12" customWidth="1"/>
    <col min="20" max="20" width="4.85546875" style="4" customWidth="1"/>
    <col min="21" max="24" width="9.140625" style="4" customWidth="1"/>
    <col min="25" max="25" width="9.140625" style="12" customWidth="1"/>
    <col min="26" max="26" width="4.85546875" style="4" customWidth="1"/>
    <col min="27" max="30" width="9.140625" style="4" customWidth="1"/>
    <col min="31" max="31" width="9.140625" style="12" customWidth="1"/>
    <col min="32" max="32" width="4.85546875" style="4" customWidth="1"/>
    <col min="33" max="33" width="10.5703125" style="4" customWidth="1"/>
    <col min="34" max="36" width="10.85546875" style="4" customWidth="1"/>
    <col min="37" max="37" width="9.140625" style="12" customWidth="1"/>
    <col min="38" max="38" width="4.85546875" style="4" customWidth="1"/>
    <col min="39" max="39" width="10.85546875" style="4" customWidth="1"/>
    <col min="40" max="40" width="10.5703125" style="4" customWidth="1"/>
    <col min="41" max="42" width="9.140625" style="4" customWidth="1"/>
    <col min="43" max="43" width="9.140625" style="12" customWidth="1"/>
    <col min="44" max="44" width="4.85546875" style="4" customWidth="1"/>
    <col min="45" max="45" width="11" style="4" bestFit="1" customWidth="1"/>
    <col min="46" max="46" width="10.7109375" style="4" bestFit="1" customWidth="1"/>
    <col min="47" max="48" width="9.85546875" style="4" bestFit="1" customWidth="1"/>
    <col min="49" max="49" width="9.140625" style="12"/>
    <col min="50" max="50" width="4.85546875" style="4" customWidth="1"/>
    <col min="51" max="51" width="11" style="4" bestFit="1" customWidth="1"/>
    <col min="52" max="52" width="10.7109375" style="4" bestFit="1" customWidth="1"/>
    <col min="53" max="54" width="9.85546875" style="4" bestFit="1" customWidth="1"/>
    <col min="55" max="55" width="9.140625" style="12"/>
    <col min="56" max="56" width="1.85546875" style="4" customWidth="1"/>
    <col min="57" max="57" width="11" style="4" bestFit="1" customWidth="1"/>
    <col min="58" max="58" width="10.7109375" style="4" bestFit="1" customWidth="1"/>
    <col min="59" max="60" width="9.85546875" style="4" bestFit="1" customWidth="1"/>
    <col min="61" max="61" width="9.140625" style="12"/>
    <col min="62" max="62" width="2.42578125" style="4" customWidth="1"/>
    <col min="63" max="67" width="9.140625" style="4"/>
    <col min="68" max="68" width="3.140625" style="4" customWidth="1"/>
    <col min="69" max="16384" width="9.140625" style="4"/>
  </cols>
  <sheetData>
    <row r="1" spans="1:73">
      <c r="C1" s="106" t="s">
        <v>157</v>
      </c>
      <c r="D1" s="106"/>
      <c r="E1" s="106"/>
      <c r="F1" s="106"/>
      <c r="G1" s="106"/>
      <c r="I1" s="106" t="s">
        <v>157</v>
      </c>
      <c r="J1" s="106"/>
      <c r="K1" s="106"/>
      <c r="L1" s="106"/>
      <c r="M1" s="106"/>
      <c r="O1" s="106" t="s">
        <v>157</v>
      </c>
      <c r="P1" s="106"/>
      <c r="Q1" s="106"/>
      <c r="R1" s="106"/>
      <c r="S1" s="106"/>
      <c r="U1" s="106" t="s">
        <v>157</v>
      </c>
      <c r="V1" s="106"/>
      <c r="W1" s="106"/>
      <c r="X1" s="106"/>
      <c r="Y1" s="106"/>
      <c r="AA1" s="106" t="s">
        <v>132</v>
      </c>
      <c r="AB1" s="106"/>
      <c r="AC1" s="106"/>
      <c r="AD1" s="106"/>
      <c r="AE1" s="106"/>
      <c r="AG1" s="106" t="s">
        <v>132</v>
      </c>
      <c r="AH1" s="106"/>
      <c r="AI1" s="106"/>
      <c r="AJ1" s="106"/>
      <c r="AK1" s="106"/>
      <c r="AM1" s="106" t="s">
        <v>132</v>
      </c>
      <c r="AN1" s="106"/>
      <c r="AO1" s="106"/>
      <c r="AP1" s="106"/>
      <c r="AQ1" s="106"/>
      <c r="AS1" s="106" t="s">
        <v>132</v>
      </c>
      <c r="AT1" s="106"/>
      <c r="AU1" s="106"/>
      <c r="AV1" s="106"/>
      <c r="AW1" s="106"/>
      <c r="AY1" s="106" t="s">
        <v>132</v>
      </c>
      <c r="AZ1" s="106"/>
      <c r="BA1" s="106"/>
      <c r="BB1" s="106"/>
      <c r="BC1" s="106"/>
      <c r="BE1" s="106" t="s">
        <v>132</v>
      </c>
      <c r="BF1" s="106"/>
      <c r="BG1" s="106"/>
      <c r="BH1" s="106"/>
      <c r="BI1" s="106"/>
      <c r="BK1" s="106" t="s">
        <v>132</v>
      </c>
      <c r="BL1" s="106"/>
      <c r="BM1" s="106"/>
      <c r="BN1" s="106"/>
      <c r="BO1" s="106"/>
      <c r="BQ1" s="106" t="s">
        <v>132</v>
      </c>
      <c r="BR1" s="106"/>
      <c r="BS1" s="106"/>
      <c r="BT1" s="106"/>
      <c r="BU1" s="106"/>
    </row>
    <row r="2" spans="1:73">
      <c r="A2" s="1" t="s">
        <v>46</v>
      </c>
      <c r="B2" s="2"/>
      <c r="C2" s="107">
        <v>2001</v>
      </c>
      <c r="D2" s="107"/>
      <c r="E2" s="107"/>
      <c r="F2" s="107"/>
      <c r="G2" s="107"/>
      <c r="I2" s="107">
        <v>2002</v>
      </c>
      <c r="J2" s="107"/>
      <c r="K2" s="107"/>
      <c r="L2" s="107"/>
      <c r="M2" s="107"/>
      <c r="O2" s="107">
        <v>2003</v>
      </c>
      <c r="P2" s="107"/>
      <c r="Q2" s="107"/>
      <c r="R2" s="107"/>
      <c r="S2" s="107"/>
      <c r="U2" s="107">
        <v>2004</v>
      </c>
      <c r="V2" s="107"/>
      <c r="W2" s="107"/>
      <c r="X2" s="107"/>
      <c r="Y2" s="107"/>
      <c r="AA2" s="107">
        <v>2005</v>
      </c>
      <c r="AB2" s="107"/>
      <c r="AC2" s="107"/>
      <c r="AD2" s="107"/>
      <c r="AE2" s="107"/>
      <c r="AG2" s="107">
        <v>2006</v>
      </c>
      <c r="AH2" s="107"/>
      <c r="AI2" s="107"/>
      <c r="AJ2" s="107"/>
      <c r="AK2" s="107"/>
      <c r="AM2" s="107">
        <v>2007</v>
      </c>
      <c r="AN2" s="107"/>
      <c r="AO2" s="107"/>
      <c r="AP2" s="107"/>
      <c r="AQ2" s="107"/>
      <c r="AS2" s="107">
        <v>2008</v>
      </c>
      <c r="AT2" s="107"/>
      <c r="AU2" s="107"/>
      <c r="AV2" s="107"/>
      <c r="AW2" s="107"/>
      <c r="AY2" s="107">
        <v>2009</v>
      </c>
      <c r="AZ2" s="107"/>
      <c r="BA2" s="107"/>
      <c r="BB2" s="107"/>
      <c r="BC2" s="107"/>
      <c r="BE2" s="107">
        <v>2010</v>
      </c>
      <c r="BF2" s="107"/>
      <c r="BG2" s="107"/>
      <c r="BH2" s="107"/>
      <c r="BI2" s="107"/>
      <c r="BK2" s="107">
        <v>2011</v>
      </c>
      <c r="BL2" s="107"/>
      <c r="BM2" s="107"/>
      <c r="BN2" s="107"/>
      <c r="BO2" s="107"/>
      <c r="BQ2" s="107">
        <v>2012</v>
      </c>
      <c r="BR2" s="107"/>
      <c r="BS2" s="107"/>
      <c r="BT2" s="107"/>
      <c r="BU2" s="107"/>
    </row>
    <row r="3" spans="1:73">
      <c r="A3" s="5" t="s">
        <v>56</v>
      </c>
      <c r="B3" s="6"/>
      <c r="C3" s="71" t="s">
        <v>10</v>
      </c>
      <c r="D3" s="71" t="s">
        <v>11</v>
      </c>
      <c r="E3" s="71" t="s">
        <v>12</v>
      </c>
      <c r="F3" s="71" t="s">
        <v>13</v>
      </c>
      <c r="G3" s="8" t="s">
        <v>14</v>
      </c>
      <c r="H3" s="9"/>
      <c r="I3" s="71" t="s">
        <v>10</v>
      </c>
      <c r="J3" s="71" t="s">
        <v>11</v>
      </c>
      <c r="K3" s="71" t="s">
        <v>12</v>
      </c>
      <c r="L3" s="71" t="s">
        <v>13</v>
      </c>
      <c r="M3" s="8"/>
      <c r="O3" s="71" t="s">
        <v>10</v>
      </c>
      <c r="P3" s="71" t="s">
        <v>11</v>
      </c>
      <c r="Q3" s="71" t="s">
        <v>12</v>
      </c>
      <c r="R3" s="71" t="s">
        <v>13</v>
      </c>
      <c r="S3" s="8"/>
      <c r="U3" s="71" t="s">
        <v>10</v>
      </c>
      <c r="V3" s="71" t="s">
        <v>11</v>
      </c>
      <c r="W3" s="71" t="s">
        <v>12</v>
      </c>
      <c r="X3" s="71" t="s">
        <v>13</v>
      </c>
      <c r="Y3" s="8"/>
      <c r="AA3" s="71" t="s">
        <v>10</v>
      </c>
      <c r="AB3" s="71" t="s">
        <v>11</v>
      </c>
      <c r="AC3" s="71" t="s">
        <v>12</v>
      </c>
      <c r="AD3" s="71" t="s">
        <v>13</v>
      </c>
      <c r="AE3" s="8"/>
      <c r="AF3" s="78"/>
      <c r="AG3" s="71" t="s">
        <v>10</v>
      </c>
      <c r="AH3" s="71" t="s">
        <v>11</v>
      </c>
      <c r="AI3" s="71" t="s">
        <v>12</v>
      </c>
      <c r="AJ3" s="71" t="s">
        <v>13</v>
      </c>
      <c r="AK3" s="8"/>
      <c r="AM3" s="71" t="s">
        <v>10</v>
      </c>
      <c r="AN3" s="71" t="s">
        <v>11</v>
      </c>
      <c r="AO3" s="71" t="s">
        <v>12</v>
      </c>
      <c r="AP3" s="71" t="s">
        <v>13</v>
      </c>
      <c r="AQ3" s="8"/>
      <c r="AS3" s="71" t="s">
        <v>10</v>
      </c>
      <c r="AT3" s="71" t="s">
        <v>11</v>
      </c>
      <c r="AU3" s="71" t="s">
        <v>12</v>
      </c>
      <c r="AV3" s="71" t="s">
        <v>13</v>
      </c>
      <c r="AW3" s="8"/>
      <c r="AY3" s="71" t="s">
        <v>10</v>
      </c>
      <c r="AZ3" s="71" t="s">
        <v>11</v>
      </c>
      <c r="BA3" s="71" t="s">
        <v>12</v>
      </c>
      <c r="BB3" s="71" t="s">
        <v>13</v>
      </c>
      <c r="BC3" s="8"/>
      <c r="BE3" s="71" t="s">
        <v>10</v>
      </c>
      <c r="BF3" s="71" t="s">
        <v>11</v>
      </c>
      <c r="BG3" s="71" t="s">
        <v>12</v>
      </c>
      <c r="BH3" s="71" t="s">
        <v>13</v>
      </c>
      <c r="BI3" s="8"/>
      <c r="BK3" s="71" t="s">
        <v>10</v>
      </c>
      <c r="BL3" s="71" t="s">
        <v>11</v>
      </c>
      <c r="BM3" s="71" t="s">
        <v>12</v>
      </c>
      <c r="BN3" s="71" t="s">
        <v>13</v>
      </c>
      <c r="BO3" s="8"/>
      <c r="BQ3" s="71" t="s">
        <v>10</v>
      </c>
      <c r="BR3" s="71" t="s">
        <v>11</v>
      </c>
      <c r="BS3" s="71" t="s">
        <v>12</v>
      </c>
      <c r="BT3" s="71" t="s">
        <v>13</v>
      </c>
      <c r="BU3" s="8"/>
    </row>
    <row r="4" spans="1:73">
      <c r="G4" s="5"/>
      <c r="M4" s="5"/>
      <c r="S4" s="5"/>
      <c r="Y4" s="43"/>
      <c r="AE4" s="43"/>
      <c r="AK4" s="43"/>
      <c r="AQ4" s="43"/>
      <c r="AW4" s="43"/>
      <c r="BC4" s="43"/>
      <c r="BI4" s="43"/>
      <c r="BO4" s="43"/>
      <c r="BU4" s="43"/>
    </row>
    <row r="5" spans="1:73">
      <c r="G5" s="5"/>
      <c r="M5" s="5"/>
      <c r="S5" s="5"/>
      <c r="Y5" s="5"/>
      <c r="AE5" s="5"/>
      <c r="AK5" s="5"/>
      <c r="AQ5" s="5"/>
      <c r="AW5" s="5"/>
      <c r="BC5" s="5"/>
      <c r="BI5" s="5"/>
      <c r="BO5" s="5"/>
      <c r="BU5" s="5"/>
    </row>
    <row r="6" spans="1:73">
      <c r="BO6" s="12"/>
      <c r="BU6" s="12"/>
    </row>
    <row r="7" spans="1:73">
      <c r="BO7" s="12"/>
      <c r="BU7" s="12"/>
    </row>
    <row r="8" spans="1:73">
      <c r="A8" s="4" t="str">
        <f>' Financial Highlights'!A42</f>
        <v>Number of 20 DKK shares ('000)</v>
      </c>
      <c r="C8" s="4">
        <f>' Financial Highlights'!C42</f>
        <v>26980</v>
      </c>
      <c r="D8" s="4">
        <f>' Financial Highlights'!D42</f>
        <v>25000</v>
      </c>
      <c r="E8" s="4">
        <f>' Financial Highlights'!E42</f>
        <v>25000</v>
      </c>
      <c r="F8" s="4">
        <f>' Financial Highlights'!F42</f>
        <v>25000</v>
      </c>
      <c r="I8" s="4">
        <f>' Financial Highlights'!I42</f>
        <v>25000</v>
      </c>
      <c r="J8" s="4">
        <f>' Financial Highlights'!J42</f>
        <v>25000</v>
      </c>
      <c r="K8" s="4">
        <f>' Financial Highlights'!K42</f>
        <v>25000</v>
      </c>
      <c r="L8" s="4">
        <f>' Financial Highlights'!L42</f>
        <v>25000</v>
      </c>
      <c r="O8" s="4">
        <f>' Financial Highlights'!O42</f>
        <v>25000</v>
      </c>
      <c r="P8" s="4">
        <f>' Financial Highlights'!P42</f>
        <v>25000</v>
      </c>
      <c r="Q8" s="4">
        <f>' Financial Highlights'!Q42</f>
        <v>25000</v>
      </c>
      <c r="R8" s="4">
        <f>' Financial Highlights'!R42</f>
        <v>25000</v>
      </c>
      <c r="U8" s="4">
        <f>' Financial Highlights'!U42</f>
        <v>25000</v>
      </c>
      <c r="V8" s="4">
        <f>' Financial Highlights'!V42</f>
        <v>25000</v>
      </c>
      <c r="W8" s="4">
        <f>' Financial Highlights'!W42</f>
        <v>24500</v>
      </c>
      <c r="X8" s="4">
        <f>' Financial Highlights'!X42</f>
        <v>24500</v>
      </c>
      <c r="Y8" s="25"/>
      <c r="AA8" s="14">
        <v>24500</v>
      </c>
      <c r="AB8" s="14">
        <v>24500</v>
      </c>
      <c r="AC8" s="14">
        <v>24500</v>
      </c>
      <c r="AD8" s="14">
        <v>24500</v>
      </c>
      <c r="AE8" s="48"/>
      <c r="AF8" s="14"/>
      <c r="AG8" s="14">
        <v>24500</v>
      </c>
      <c r="AH8" s="14">
        <v>23500</v>
      </c>
      <c r="AI8" s="14">
        <v>23500</v>
      </c>
      <c r="AJ8" s="14">
        <v>23500</v>
      </c>
      <c r="AK8" s="25"/>
      <c r="AL8" s="14"/>
      <c r="AM8" s="14">
        <v>23500</v>
      </c>
      <c r="AN8" s="14">
        <v>23638</v>
      </c>
      <c r="AO8" s="14">
        <v>23638</v>
      </c>
      <c r="AP8" s="14">
        <v>23638</v>
      </c>
      <c r="AQ8" s="25"/>
      <c r="AR8" s="14"/>
      <c r="AS8" s="14">
        <v>23655</v>
      </c>
      <c r="AT8" s="14">
        <v>23718</v>
      </c>
      <c r="AU8" s="14">
        <v>23718</v>
      </c>
      <c r="AV8" s="14">
        <v>23718</v>
      </c>
      <c r="AW8" s="25"/>
      <c r="AX8" s="14"/>
      <c r="AY8" s="14">
        <v>23718</v>
      </c>
      <c r="AZ8" s="14">
        <v>23718</v>
      </c>
      <c r="BA8" s="14">
        <v>23718</v>
      </c>
      <c r="BB8" s="84">
        <v>23718</v>
      </c>
      <c r="BC8" s="25"/>
      <c r="BE8" s="14">
        <v>23722</v>
      </c>
      <c r="BF8" s="14">
        <v>23738</v>
      </c>
      <c r="BG8" s="14">
        <v>23738</v>
      </c>
      <c r="BH8" s="84">
        <v>23738</v>
      </c>
      <c r="BI8" s="25"/>
      <c r="BK8" s="14">
        <v>23737.978999999999</v>
      </c>
      <c r="BL8" s="14">
        <v>23737.978999999999</v>
      </c>
      <c r="BM8" s="14">
        <v>23737.978999999999</v>
      </c>
      <c r="BN8" s="14">
        <v>23737.978999999999</v>
      </c>
      <c r="BO8" s="25"/>
      <c r="BQ8" s="14">
        <v>23888</v>
      </c>
      <c r="BR8" s="14">
        <v>23888</v>
      </c>
      <c r="BS8" s="14"/>
      <c r="BT8" s="14"/>
      <c r="BU8" s="25"/>
    </row>
    <row r="9" spans="1:73">
      <c r="A9" s="4" t="s">
        <v>54</v>
      </c>
      <c r="C9" s="4">
        <v>2543</v>
      </c>
      <c r="D9" s="4">
        <v>577</v>
      </c>
      <c r="E9" s="4">
        <v>577</v>
      </c>
      <c r="F9" s="4">
        <v>627</v>
      </c>
      <c r="I9" s="4">
        <v>499</v>
      </c>
      <c r="J9" s="4">
        <v>499</v>
      </c>
      <c r="K9" s="4">
        <v>499</v>
      </c>
      <c r="L9" s="4">
        <v>499</v>
      </c>
      <c r="O9" s="4">
        <v>499</v>
      </c>
      <c r="P9" s="4">
        <v>499</v>
      </c>
      <c r="Q9" s="4">
        <v>499</v>
      </c>
      <c r="R9" s="4">
        <v>499</v>
      </c>
      <c r="U9" s="4">
        <v>500</v>
      </c>
      <c r="V9" s="4">
        <v>500</v>
      </c>
      <c r="W9" s="4">
        <v>0</v>
      </c>
      <c r="X9" s="4">
        <v>0</v>
      </c>
      <c r="Y9" s="25"/>
      <c r="AA9" s="14">
        <v>0</v>
      </c>
      <c r="AB9" s="14">
        <v>0</v>
      </c>
      <c r="AC9" s="14">
        <v>1105</v>
      </c>
      <c r="AD9" s="14">
        <v>1105</v>
      </c>
      <c r="AE9" s="48"/>
      <c r="AF9" s="14"/>
      <c r="AG9" s="14">
        <v>1105</v>
      </c>
      <c r="AH9" s="14">
        <v>78</v>
      </c>
      <c r="AI9" s="14">
        <v>78</v>
      </c>
      <c r="AJ9" s="14">
        <v>78</v>
      </c>
      <c r="AK9" s="25"/>
      <c r="AL9" s="14"/>
      <c r="AM9" s="14">
        <v>78</v>
      </c>
      <c r="AN9" s="14">
        <v>78</v>
      </c>
      <c r="AO9" s="14">
        <v>78</v>
      </c>
      <c r="AP9" s="14">
        <v>78</v>
      </c>
      <c r="AQ9" s="25"/>
      <c r="AR9" s="14"/>
      <c r="AS9" s="58">
        <v>78</v>
      </c>
      <c r="AT9" s="58">
        <v>78</v>
      </c>
      <c r="AU9" s="58">
        <v>78</v>
      </c>
      <c r="AV9" s="58">
        <v>78</v>
      </c>
      <c r="AW9" s="64"/>
      <c r="AX9" s="14"/>
      <c r="AY9" s="58">
        <v>78</v>
      </c>
      <c r="AZ9" s="58">
        <v>78</v>
      </c>
      <c r="BA9" s="58">
        <v>78</v>
      </c>
      <c r="BB9" s="84">
        <v>78</v>
      </c>
      <c r="BC9" s="64"/>
      <c r="BE9" s="58">
        <v>78</v>
      </c>
      <c r="BF9" s="58">
        <v>77</v>
      </c>
      <c r="BG9" s="58">
        <v>77</v>
      </c>
      <c r="BH9" s="84">
        <v>77</v>
      </c>
      <c r="BI9" s="64"/>
      <c r="BK9" s="58">
        <v>77.424999999999997</v>
      </c>
      <c r="BL9" s="58">
        <v>77.424999999999997</v>
      </c>
      <c r="BM9" s="58">
        <v>77.424999999999997</v>
      </c>
      <c r="BN9" s="58">
        <v>77.424999999999997</v>
      </c>
      <c r="BO9" s="64"/>
      <c r="BQ9" s="58">
        <v>77.424999999999997</v>
      </c>
      <c r="BR9" s="58">
        <v>77</v>
      </c>
      <c r="BS9" s="58"/>
      <c r="BT9" s="58"/>
      <c r="BU9" s="64"/>
    </row>
    <row r="10" spans="1:73" s="12" customFormat="1">
      <c r="A10" s="12" t="s">
        <v>55</v>
      </c>
      <c r="B10" s="6"/>
      <c r="C10" s="13">
        <f>C8-C9</f>
        <v>24437</v>
      </c>
      <c r="D10" s="13">
        <f>D8-D9</f>
        <v>24423</v>
      </c>
      <c r="E10" s="13">
        <f>E8-E9</f>
        <v>24423</v>
      </c>
      <c r="F10" s="13">
        <f>F8-F9</f>
        <v>24373</v>
      </c>
      <c r="H10" s="3"/>
      <c r="I10" s="13">
        <f>I8-I9</f>
        <v>24501</v>
      </c>
      <c r="J10" s="13">
        <f>J8-J9</f>
        <v>24501</v>
      </c>
      <c r="K10" s="13">
        <f>K8-K9</f>
        <v>24501</v>
      </c>
      <c r="L10" s="13">
        <f>L8-L9</f>
        <v>24501</v>
      </c>
      <c r="O10" s="13">
        <f>O8-O9</f>
        <v>24501</v>
      </c>
      <c r="P10" s="13">
        <f>P8-P9</f>
        <v>24501</v>
      </c>
      <c r="Q10" s="13">
        <f>Q8-Q9</f>
        <v>24501</v>
      </c>
      <c r="R10" s="13">
        <f>R8-R9</f>
        <v>24501</v>
      </c>
      <c r="U10" s="13">
        <f>U8-U9</f>
        <v>24500</v>
      </c>
      <c r="V10" s="13">
        <f>V8-V9</f>
        <v>24500</v>
      </c>
      <c r="W10" s="13">
        <f>W8-W9</f>
        <v>24500</v>
      </c>
      <c r="X10" s="13">
        <f>X8-X9</f>
        <v>24500</v>
      </c>
      <c r="Y10" s="36"/>
      <c r="AA10" s="17">
        <f>AA8-AA9</f>
        <v>24500</v>
      </c>
      <c r="AB10" s="17">
        <f>AB8-AB9</f>
        <v>24500</v>
      </c>
      <c r="AC10" s="17">
        <f>AC8-AC9</f>
        <v>23395</v>
      </c>
      <c r="AD10" s="17">
        <f>AD8-AD9</f>
        <v>23395</v>
      </c>
      <c r="AE10" s="47"/>
      <c r="AF10" s="19"/>
      <c r="AG10" s="17">
        <f>AG8-AG9</f>
        <v>23395</v>
      </c>
      <c r="AH10" s="17">
        <f>AH8-AH9</f>
        <v>23422</v>
      </c>
      <c r="AI10" s="17">
        <f>AI8-AI9</f>
        <v>23422</v>
      </c>
      <c r="AJ10" s="17">
        <f>AJ8-AJ9</f>
        <v>23422</v>
      </c>
      <c r="AK10" s="36"/>
      <c r="AL10" s="19"/>
      <c r="AM10" s="17">
        <f>AM8-AM9</f>
        <v>23422</v>
      </c>
      <c r="AN10" s="17">
        <f>AN8-AN9</f>
        <v>23560</v>
      </c>
      <c r="AO10" s="17">
        <f>AO8-AO9</f>
        <v>23560</v>
      </c>
      <c r="AP10" s="17">
        <f>AP8-AP9</f>
        <v>23560</v>
      </c>
      <c r="AQ10" s="36"/>
      <c r="AR10" s="19"/>
      <c r="AS10" s="61">
        <f>AS8-AS9</f>
        <v>23577</v>
      </c>
      <c r="AT10" s="61">
        <f>AT8-AT9</f>
        <v>23640</v>
      </c>
      <c r="AU10" s="61">
        <f>AU8-AU9</f>
        <v>23640</v>
      </c>
      <c r="AV10" s="61">
        <f>AV8-AV9</f>
        <v>23640</v>
      </c>
      <c r="AW10" s="3"/>
      <c r="AX10" s="19"/>
      <c r="AY10" s="61">
        <f>AY8-AY9</f>
        <v>23640</v>
      </c>
      <c r="AZ10" s="61">
        <f>AZ8-AZ9</f>
        <v>23640</v>
      </c>
      <c r="BA10" s="61">
        <f>BA8-BA9</f>
        <v>23640</v>
      </c>
      <c r="BB10" s="61">
        <f>BB8-BB9</f>
        <v>23640</v>
      </c>
      <c r="BC10" s="3"/>
      <c r="BE10" s="61">
        <f>BE8-BE9</f>
        <v>23644</v>
      </c>
      <c r="BF10" s="61">
        <f>BF8-BF9</f>
        <v>23661</v>
      </c>
      <c r="BG10" s="61">
        <f>BG8-BG9</f>
        <v>23661</v>
      </c>
      <c r="BH10" s="61">
        <f>BH8-BH9</f>
        <v>23661</v>
      </c>
      <c r="BI10" s="3"/>
      <c r="BK10" s="61">
        <f>BK8-BK9</f>
        <v>23660.554</v>
      </c>
      <c r="BL10" s="61">
        <f>BL8-BL9</f>
        <v>23660.554</v>
      </c>
      <c r="BM10" s="61">
        <f>BM8-BM9</f>
        <v>23660.554</v>
      </c>
      <c r="BN10" s="61">
        <f>BN8-BN9</f>
        <v>23660.554</v>
      </c>
      <c r="BO10" s="3"/>
      <c r="BQ10" s="61">
        <f>BQ8-BQ9</f>
        <v>23810.575000000001</v>
      </c>
      <c r="BR10" s="61">
        <f>BR8-BR9</f>
        <v>23811</v>
      </c>
      <c r="BS10" s="61">
        <f>BS8-BS9</f>
        <v>0</v>
      </c>
      <c r="BT10" s="61">
        <f>BT8-BT9</f>
        <v>0</v>
      </c>
      <c r="BU10" s="3"/>
    </row>
    <row r="11" spans="1:73">
      <c r="Y11" s="25"/>
      <c r="AA11" s="14"/>
      <c r="AB11" s="14"/>
      <c r="AC11" s="14"/>
      <c r="AD11" s="14"/>
      <c r="AE11" s="48"/>
      <c r="AF11" s="14"/>
      <c r="AG11" s="14"/>
      <c r="AH11" s="14"/>
      <c r="AI11" s="14"/>
      <c r="AJ11" s="14"/>
      <c r="AK11" s="25"/>
      <c r="AL11" s="14"/>
      <c r="AM11" s="14"/>
      <c r="AN11" s="14"/>
      <c r="AO11" s="14"/>
      <c r="AP11" s="14"/>
      <c r="AQ11" s="25"/>
      <c r="AR11" s="14"/>
      <c r="AS11" s="58"/>
      <c r="AT11" s="58"/>
      <c r="AU11" s="58"/>
      <c r="AV11" s="58"/>
      <c r="AW11" s="64"/>
      <c r="AX11" s="14"/>
      <c r="AY11" s="58"/>
      <c r="AZ11" s="58"/>
      <c r="BA11" s="58"/>
      <c r="BB11" s="58"/>
      <c r="BC11" s="64"/>
      <c r="BE11" s="58"/>
      <c r="BF11" s="58"/>
      <c r="BG11" s="58"/>
      <c r="BH11" s="58"/>
      <c r="BI11" s="64"/>
      <c r="BK11" s="58"/>
      <c r="BL11" s="58"/>
      <c r="BM11" s="58"/>
      <c r="BN11" s="58"/>
      <c r="BO11" s="64"/>
      <c r="BQ11" s="58"/>
      <c r="BR11" s="58"/>
      <c r="BS11" s="58"/>
      <c r="BT11" s="58"/>
      <c r="BU11" s="64"/>
    </row>
    <row r="12" spans="1:73">
      <c r="A12" s="4" t="str">
        <f>' Financial Highlights'!A46</f>
        <v>Market price, DKK per share</v>
      </c>
      <c r="C12" s="4">
        <f>' Financial Highlights'!C46</f>
        <v>252</v>
      </c>
      <c r="D12" s="4">
        <f>' Financial Highlights'!D46</f>
        <v>119</v>
      </c>
      <c r="E12" s="4">
        <f>' Financial Highlights'!E46</f>
        <v>103</v>
      </c>
      <c r="F12" s="4">
        <f>' Financial Highlights'!F46</f>
        <v>105</v>
      </c>
      <c r="I12" s="4">
        <f>' Financial Highlights'!I46</f>
        <v>95</v>
      </c>
      <c r="J12" s="4">
        <f>' Financial Highlights'!J46</f>
        <v>85</v>
      </c>
      <c r="K12" s="4">
        <f>' Financial Highlights'!K46</f>
        <v>57</v>
      </c>
      <c r="L12" s="4">
        <f>' Financial Highlights'!L46</f>
        <v>74</v>
      </c>
      <c r="O12" s="4">
        <f>' Financial Highlights'!O46</f>
        <v>76</v>
      </c>
      <c r="P12" s="4">
        <f>' Financial Highlights'!P46</f>
        <v>90</v>
      </c>
      <c r="Q12" s="4">
        <f>' Financial Highlights'!Q46</f>
        <v>106</v>
      </c>
      <c r="R12" s="4">
        <f>' Financial Highlights'!R46</f>
        <v>108</v>
      </c>
      <c r="U12" s="4">
        <f>' Financial Highlights'!U46</f>
        <v>118</v>
      </c>
      <c r="V12" s="4">
        <f>' Financial Highlights'!V46</f>
        <v>125</v>
      </c>
      <c r="W12" s="4">
        <f>' Financial Highlights'!W46</f>
        <v>137</v>
      </c>
      <c r="X12" s="4">
        <f>' Financial Highlights'!X46</f>
        <v>159</v>
      </c>
      <c r="Y12" s="25"/>
      <c r="AA12" s="14">
        <f>' Financial Highlights'!AG46</f>
        <v>198</v>
      </c>
      <c r="AB12" s="14">
        <f>' Financial Highlights'!AH46</f>
        <v>229</v>
      </c>
      <c r="AC12" s="14">
        <f>' Financial Highlights'!AI46</f>
        <v>262</v>
      </c>
      <c r="AD12" s="14">
        <f>' Financial Highlights'!AJ46</f>
        <v>289</v>
      </c>
      <c r="AE12" s="48"/>
      <c r="AF12" s="14"/>
      <c r="AG12" s="14">
        <f>' Financial Highlights'!AM46</f>
        <v>389</v>
      </c>
      <c r="AH12" s="14">
        <v>366</v>
      </c>
      <c r="AI12" s="14">
        <v>442</v>
      </c>
      <c r="AJ12" s="14">
        <v>503</v>
      </c>
      <c r="AK12" s="25"/>
      <c r="AL12" s="14"/>
      <c r="AM12" s="14">
        <v>448</v>
      </c>
      <c r="AN12" s="14">
        <v>549</v>
      </c>
      <c r="AO12" s="14">
        <v>586</v>
      </c>
      <c r="AP12" s="14">
        <v>459</v>
      </c>
      <c r="AQ12" s="25"/>
      <c r="AR12" s="14"/>
      <c r="AS12" s="58">
        <v>340</v>
      </c>
      <c r="AT12" s="58">
        <v>383</v>
      </c>
      <c r="AU12" s="58">
        <v>245</v>
      </c>
      <c r="AV12" s="58">
        <v>106</v>
      </c>
      <c r="AW12" s="64"/>
      <c r="AX12" s="14"/>
      <c r="AY12" s="58">
        <v>97</v>
      </c>
      <c r="AZ12" s="58">
        <v>178.75</v>
      </c>
      <c r="BA12" s="58">
        <v>297</v>
      </c>
      <c r="BB12" s="84">
        <v>291</v>
      </c>
      <c r="BC12" s="64"/>
      <c r="BE12" s="58">
        <v>305</v>
      </c>
      <c r="BF12" s="58">
        <v>274</v>
      </c>
      <c r="BG12" s="58">
        <v>270</v>
      </c>
      <c r="BH12" s="84">
        <v>297</v>
      </c>
      <c r="BI12" s="64"/>
      <c r="BK12" s="58">
        <v>309</v>
      </c>
      <c r="BL12" s="58">
        <v>329</v>
      </c>
      <c r="BM12" s="58">
        <v>202</v>
      </c>
      <c r="BN12" s="84">
        <v>191</v>
      </c>
      <c r="BO12" s="64"/>
      <c r="BQ12" s="58">
        <v>254</v>
      </c>
      <c r="BR12" s="58">
        <v>190</v>
      </c>
      <c r="BS12" s="58"/>
      <c r="BT12" s="84"/>
      <c r="BU12" s="64"/>
    </row>
    <row r="13" spans="1:73">
      <c r="Y13" s="25"/>
      <c r="AA13" s="14"/>
      <c r="AB13" s="14"/>
      <c r="AC13" s="14"/>
      <c r="AD13" s="14"/>
      <c r="AE13" s="48"/>
      <c r="AF13" s="14"/>
      <c r="AG13" s="14"/>
      <c r="AH13" s="14"/>
      <c r="AI13" s="14"/>
      <c r="AJ13" s="14"/>
      <c r="AK13" s="25"/>
      <c r="AL13" s="14"/>
      <c r="AM13" s="14"/>
      <c r="AN13" s="14"/>
      <c r="AO13" s="14"/>
      <c r="AP13" s="14"/>
      <c r="AQ13" s="25"/>
      <c r="AR13" s="14"/>
      <c r="AS13" s="58"/>
      <c r="AT13" s="58"/>
      <c r="AU13" s="58"/>
      <c r="AV13" s="58"/>
      <c r="AW13" s="64"/>
      <c r="AX13" s="14"/>
      <c r="AY13" s="58"/>
      <c r="AZ13" s="58"/>
      <c r="BA13" s="58"/>
      <c r="BB13" s="58"/>
      <c r="BC13" s="64"/>
      <c r="BE13" s="58"/>
      <c r="BF13" s="58"/>
      <c r="BG13" s="58"/>
      <c r="BH13" s="58"/>
      <c r="BI13" s="64"/>
      <c r="BK13" s="58"/>
      <c r="BL13" s="58"/>
      <c r="BM13" s="58"/>
      <c r="BN13" s="58"/>
      <c r="BO13" s="64"/>
      <c r="BQ13" s="58"/>
      <c r="BR13" s="58"/>
      <c r="BS13" s="58"/>
      <c r="BT13" s="58"/>
      <c r="BU13" s="64"/>
    </row>
    <row r="14" spans="1:73">
      <c r="A14" s="4" t="s">
        <v>57</v>
      </c>
      <c r="C14" s="40">
        <f>C10*C12/1000</f>
        <v>6158.1239999999998</v>
      </c>
      <c r="D14" s="40">
        <f>D10*D12/1000</f>
        <v>2906.337</v>
      </c>
      <c r="E14" s="40">
        <f>E10*E12/1000</f>
        <v>2515.569</v>
      </c>
      <c r="F14" s="40">
        <f>F10*F12/1000</f>
        <v>2559.165</v>
      </c>
      <c r="I14" s="40">
        <f>I10*I12/1000</f>
        <v>2327.5949999999998</v>
      </c>
      <c r="J14" s="40">
        <f>J10*J12/1000</f>
        <v>2082.585</v>
      </c>
      <c r="K14" s="40">
        <f>K10*K12/1000</f>
        <v>1396.557</v>
      </c>
      <c r="L14" s="40">
        <f>L10*L12/1000</f>
        <v>1813.0740000000001</v>
      </c>
      <c r="O14" s="40">
        <f>O10*O12/1000</f>
        <v>1862.076</v>
      </c>
      <c r="P14" s="40">
        <f>P10*P12/1000</f>
        <v>2205.09</v>
      </c>
      <c r="Q14" s="40">
        <f>Q10*Q12/1000</f>
        <v>2597.1060000000002</v>
      </c>
      <c r="R14" s="40">
        <f>R10*R12/1000</f>
        <v>2646.1080000000002</v>
      </c>
      <c r="U14" s="40">
        <f>U10*U12/1000</f>
        <v>2891</v>
      </c>
      <c r="V14" s="40">
        <f>V10*V12/1000</f>
        <v>3062.5</v>
      </c>
      <c r="W14" s="40">
        <f>W10*W12/1000</f>
        <v>3356.5</v>
      </c>
      <c r="X14" s="40">
        <f>X10*X12/1000</f>
        <v>3895.5</v>
      </c>
      <c r="Y14" s="49"/>
      <c r="AA14" s="14">
        <f>AA10*AA12/1000</f>
        <v>4851</v>
      </c>
      <c r="AB14" s="14">
        <f>AB10*AB12/1000</f>
        <v>5610.5</v>
      </c>
      <c r="AC14" s="14">
        <f>AC10*AC12/1000</f>
        <v>6129.49</v>
      </c>
      <c r="AD14" s="14">
        <f>AD10*AD12/1000</f>
        <v>6761.1549999999997</v>
      </c>
      <c r="AE14" s="48"/>
      <c r="AF14" s="14"/>
      <c r="AG14" s="14">
        <f>AG10*AG12/1000</f>
        <v>9100.6550000000007</v>
      </c>
      <c r="AH14" s="14">
        <f>AH10*AH12/1000</f>
        <v>8572.4519999999993</v>
      </c>
      <c r="AI14" s="14">
        <f>AI10*AI12/1000</f>
        <v>10352.523999999999</v>
      </c>
      <c r="AJ14" s="14">
        <f>AJ10*AJ12/1000</f>
        <v>11781.266</v>
      </c>
      <c r="AK14" s="49"/>
      <c r="AL14" s="14"/>
      <c r="AM14" s="14">
        <f>AM10*AM12/1000</f>
        <v>10493.056</v>
      </c>
      <c r="AN14" s="14">
        <f>AN10*AN12/1000</f>
        <v>12934.44</v>
      </c>
      <c r="AO14" s="14">
        <f>AO10*AO12/1000</f>
        <v>13806.16</v>
      </c>
      <c r="AP14" s="14">
        <f>AP10*AP12/1000</f>
        <v>10814.04</v>
      </c>
      <c r="AQ14" s="49"/>
      <c r="AR14" s="14"/>
      <c r="AS14" s="58">
        <f>AS10*AS12/1000</f>
        <v>8016.18</v>
      </c>
      <c r="AT14" s="58">
        <f>AT10*AT12/1000</f>
        <v>9054.1200000000008</v>
      </c>
      <c r="AU14" s="58">
        <f>AU10*AU12/1000</f>
        <v>5791.8</v>
      </c>
      <c r="AV14" s="58">
        <f>AV10*AV12/1000</f>
        <v>2505.84</v>
      </c>
      <c r="AW14" s="65"/>
      <c r="AX14" s="14"/>
      <c r="AY14" s="58">
        <f>AY10*AY12/1000</f>
        <v>2293.08</v>
      </c>
      <c r="AZ14" s="58">
        <f>AZ10*AZ12/1000</f>
        <v>4225.6499999999996</v>
      </c>
      <c r="BA14" s="58">
        <f>BA10*BA12/1000</f>
        <v>7021.08</v>
      </c>
      <c r="BB14" s="58">
        <f>BB10*BB12/1000</f>
        <v>6879.24</v>
      </c>
      <c r="BC14" s="65"/>
      <c r="BE14" s="58">
        <f>BE10*BE12/1000</f>
        <v>7211.42</v>
      </c>
      <c r="BF14" s="58">
        <f>BF10*BF12/1000</f>
        <v>6483.1139999999996</v>
      </c>
      <c r="BG14" s="58">
        <f>BG10*BG12/1000</f>
        <v>6388.47</v>
      </c>
      <c r="BH14" s="58">
        <f>BH10*BH12/1000</f>
        <v>7027.317</v>
      </c>
      <c r="BI14" s="65"/>
      <c r="BK14" s="58">
        <f>BK10*BK12/1000</f>
        <v>7311.1111860000001</v>
      </c>
      <c r="BL14" s="58">
        <f>BL10*BL12/1000</f>
        <v>7784.3222660000001</v>
      </c>
      <c r="BM14" s="58">
        <f>BM10*BM12/1000</f>
        <v>4779.4319079999996</v>
      </c>
      <c r="BN14" s="58">
        <f>BN10*BN12/1000</f>
        <v>4519.165814</v>
      </c>
      <c r="BO14" s="65"/>
      <c r="BQ14" s="58">
        <f>BQ10*BQ12/1000</f>
        <v>6047.8860500000001</v>
      </c>
      <c r="BR14" s="58">
        <f>BR10*BR12/1000</f>
        <v>4524.09</v>
      </c>
      <c r="BS14" s="58"/>
      <c r="BT14" s="58"/>
      <c r="BU14" s="65"/>
    </row>
    <row r="15" spans="1:73">
      <c r="A15" s="4" t="s">
        <v>58</v>
      </c>
      <c r="C15" s="14">
        <f>'Balance Sheet'!C22</f>
        <v>243</v>
      </c>
      <c r="D15" s="14">
        <f>'Balance Sheet'!D22</f>
        <v>243</v>
      </c>
      <c r="E15" s="14">
        <f>'Balance Sheet'!E22</f>
        <v>226</v>
      </c>
      <c r="F15" s="14">
        <f>'Balance Sheet'!F22</f>
        <v>222</v>
      </c>
      <c r="I15" s="14">
        <f>'Balance Sheet'!H22</f>
        <v>197</v>
      </c>
      <c r="J15" s="14">
        <f>'Balance Sheet'!I22</f>
        <v>189</v>
      </c>
      <c r="K15" s="14">
        <f>'Balance Sheet'!J22</f>
        <v>176</v>
      </c>
      <c r="L15" s="14">
        <f>'Balance Sheet'!K22</f>
        <v>135</v>
      </c>
      <c r="O15" s="14">
        <f>'Balance Sheet'!M22</f>
        <v>129</v>
      </c>
      <c r="P15" s="14">
        <f>'Balance Sheet'!N22</f>
        <v>129</v>
      </c>
      <c r="Q15" s="14">
        <f>'Balance Sheet'!O22</f>
        <v>136</v>
      </c>
      <c r="R15" s="14">
        <f>'Balance Sheet'!P22</f>
        <v>126</v>
      </c>
      <c r="U15" s="14">
        <f>'Balance Sheet'!R22</f>
        <v>148</v>
      </c>
      <c r="V15" s="14">
        <f>'Balance Sheet'!S22</f>
        <v>150</v>
      </c>
      <c r="W15" s="14">
        <f>'Balance Sheet'!T22</f>
        <v>147</v>
      </c>
      <c r="X15" s="14">
        <f>'Balance Sheet'!U22</f>
        <v>141</v>
      </c>
      <c r="Y15" s="48"/>
      <c r="AA15" s="14">
        <v>58</v>
      </c>
      <c r="AB15" s="14">
        <v>59</v>
      </c>
      <c r="AC15" s="14">
        <v>63</v>
      </c>
      <c r="AD15" s="14">
        <v>63</v>
      </c>
      <c r="AE15" s="48"/>
      <c r="AF15" s="14"/>
      <c r="AG15" s="14">
        <v>64</v>
      </c>
      <c r="AH15" s="14">
        <v>71</v>
      </c>
      <c r="AI15" s="14">
        <v>14</v>
      </c>
      <c r="AJ15" s="14">
        <v>19</v>
      </c>
      <c r="AK15" s="48"/>
      <c r="AL15" s="14"/>
      <c r="AM15" s="14">
        <v>20</v>
      </c>
      <c r="AN15" s="14">
        <v>20</v>
      </c>
      <c r="AO15" s="14">
        <v>29</v>
      </c>
      <c r="AP15" s="14">
        <v>37</v>
      </c>
      <c r="AQ15" s="48"/>
      <c r="AR15" s="14"/>
      <c r="AS15" s="58">
        <v>39</v>
      </c>
      <c r="AT15" s="58">
        <v>42</v>
      </c>
      <c r="AU15" s="58">
        <v>46</v>
      </c>
      <c r="AV15" s="58">
        <v>38</v>
      </c>
      <c r="AW15" s="55"/>
      <c r="AX15" s="14"/>
      <c r="AY15" s="58">
        <v>32</v>
      </c>
      <c r="AZ15" s="58">
        <v>34.4</v>
      </c>
      <c r="BA15" s="58">
        <v>41</v>
      </c>
      <c r="BB15" s="58">
        <v>21</v>
      </c>
      <c r="BC15" s="55"/>
      <c r="BE15" s="58">
        <v>22</v>
      </c>
      <c r="BF15" s="58">
        <v>23</v>
      </c>
      <c r="BG15" s="58">
        <v>7</v>
      </c>
      <c r="BH15" s="58">
        <v>7</v>
      </c>
      <c r="BI15" s="55"/>
      <c r="BK15" s="58">
        <v>5</v>
      </c>
      <c r="BL15" s="58">
        <v>6</v>
      </c>
      <c r="BM15" s="58">
        <v>6</v>
      </c>
      <c r="BN15" s="58">
        <v>7</v>
      </c>
      <c r="BO15" s="55"/>
      <c r="BQ15" s="58">
        <v>6</v>
      </c>
      <c r="BR15" s="58">
        <v>6</v>
      </c>
      <c r="BS15" s="58"/>
      <c r="BT15" s="58"/>
      <c r="BU15" s="55"/>
    </row>
    <row r="16" spans="1:73">
      <c r="A16" s="4" t="s">
        <v>189</v>
      </c>
      <c r="C16" s="14">
        <f>-' Financial Highlights'!C31</f>
        <v>-2277</v>
      </c>
      <c r="D16" s="14">
        <f>-' Financial Highlights'!D31</f>
        <v>221</v>
      </c>
      <c r="E16" s="14">
        <f>-' Financial Highlights'!E31</f>
        <v>162</v>
      </c>
      <c r="F16" s="14">
        <f>-' Financial Highlights'!F31</f>
        <v>-71</v>
      </c>
      <c r="I16" s="14">
        <f>-' Financial Highlights'!I31</f>
        <v>-7</v>
      </c>
      <c r="J16" s="14">
        <f>-' Financial Highlights'!J31</f>
        <v>30</v>
      </c>
      <c r="K16" s="14">
        <f>-' Financial Highlights'!K31</f>
        <v>-109</v>
      </c>
      <c r="L16" s="14">
        <f>-' Financial Highlights'!L31</f>
        <v>-407</v>
      </c>
      <c r="O16" s="14">
        <f>-' Financial Highlights'!O31</f>
        <v>-321</v>
      </c>
      <c r="P16" s="14">
        <f>-' Financial Highlights'!P31</f>
        <v>-157</v>
      </c>
      <c r="Q16" s="14">
        <f>-' Financial Highlights'!Q31</f>
        <v>-236</v>
      </c>
      <c r="R16" s="14">
        <f>-' Financial Highlights'!R31</f>
        <v>-409</v>
      </c>
      <c r="U16" s="14">
        <f>-' Financial Highlights'!U31</f>
        <v>-217</v>
      </c>
      <c r="V16" s="14">
        <f>-' Financial Highlights'!V31</f>
        <v>932</v>
      </c>
      <c r="W16" s="14">
        <f>-' Financial Highlights'!W31</f>
        <v>638</v>
      </c>
      <c r="X16" s="14">
        <f>-' Financial Highlights'!X31</f>
        <v>333</v>
      </c>
      <c r="Y16" s="48"/>
      <c r="AA16" s="14">
        <f>-' Financial Highlights'!AG31</f>
        <v>337</v>
      </c>
      <c r="AB16" s="14">
        <v>559</v>
      </c>
      <c r="AC16" s="14">
        <v>858</v>
      </c>
      <c r="AD16" s="14">
        <v>787</v>
      </c>
      <c r="AE16" s="48"/>
      <c r="AF16" s="14"/>
      <c r="AG16" s="14">
        <f>-' Financial Highlights'!AM31</f>
        <v>1176</v>
      </c>
      <c r="AH16" s="14">
        <v>1221</v>
      </c>
      <c r="AI16" s="14">
        <v>1168</v>
      </c>
      <c r="AJ16" s="14">
        <v>1023</v>
      </c>
      <c r="AK16" s="48"/>
      <c r="AL16" s="14"/>
      <c r="AM16" s="14">
        <v>1987</v>
      </c>
      <c r="AN16" s="14">
        <v>2300</v>
      </c>
      <c r="AO16" s="14">
        <v>2306</v>
      </c>
      <c r="AP16" s="14">
        <v>1995</v>
      </c>
      <c r="AQ16" s="48"/>
      <c r="AR16" s="14"/>
      <c r="AS16" s="58">
        <v>2215</v>
      </c>
      <c r="AT16" s="58">
        <v>2825</v>
      </c>
      <c r="AU16" s="58">
        <v>2821</v>
      </c>
      <c r="AV16" s="58">
        <v>2260</v>
      </c>
      <c r="AW16" s="55"/>
      <c r="AX16" s="14"/>
      <c r="AY16" s="58">
        <v>2283.3000000000002</v>
      </c>
      <c r="AZ16" s="58">
        <v>2587.3000000000002</v>
      </c>
      <c r="BA16" s="58">
        <v>2681</v>
      </c>
      <c r="BB16" s="58">
        <v>2725</v>
      </c>
      <c r="BC16" s="55"/>
      <c r="BE16" s="58">
        <v>3394</v>
      </c>
      <c r="BF16" s="58">
        <v>3790</v>
      </c>
      <c r="BG16" s="58">
        <v>4144</v>
      </c>
      <c r="BH16" s="58">
        <v>4105</v>
      </c>
      <c r="BI16" s="55"/>
      <c r="BK16" s="58">
        <v>4821</v>
      </c>
      <c r="BL16" s="58">
        <v>4940</v>
      </c>
      <c r="BM16" s="58">
        <v>4771</v>
      </c>
      <c r="BN16" s="58">
        <v>4429</v>
      </c>
      <c r="BO16" s="55"/>
      <c r="BQ16" s="58">
        <v>4491</v>
      </c>
      <c r="BR16" s="58">
        <f>-' Financial Highlights'!BX31</f>
        <v>2692</v>
      </c>
      <c r="BS16" s="58"/>
      <c r="BT16" s="58"/>
      <c r="BU16" s="55"/>
    </row>
    <row r="17" spans="1:73" s="12" customFormat="1" ht="13.5" thickBot="1">
      <c r="A17" s="12" t="s">
        <v>67</v>
      </c>
      <c r="B17" s="6"/>
      <c r="C17" s="41">
        <f>SUM(C14:C16)</f>
        <v>4124.1239999999998</v>
      </c>
      <c r="D17" s="41">
        <f>SUM(D14:D16)</f>
        <v>3370.337</v>
      </c>
      <c r="E17" s="41">
        <f>SUM(E14:E16)</f>
        <v>2903.569</v>
      </c>
      <c r="F17" s="41">
        <f>SUM(F14:F16)</f>
        <v>2710.165</v>
      </c>
      <c r="H17" s="3"/>
      <c r="I17" s="41">
        <f>SUM(I14:I16)</f>
        <v>2517.5949999999998</v>
      </c>
      <c r="J17" s="41">
        <f>SUM(J14:J16)</f>
        <v>2301.585</v>
      </c>
      <c r="K17" s="41">
        <f>SUM(K14:K16)</f>
        <v>1463.557</v>
      </c>
      <c r="L17" s="41">
        <f>SUM(L14:L16)</f>
        <v>1541.0740000000001</v>
      </c>
      <c r="O17" s="41">
        <f>SUM(O14:O16)</f>
        <v>1670.076</v>
      </c>
      <c r="P17" s="41">
        <f>SUM(P14:P16)</f>
        <v>2177.09</v>
      </c>
      <c r="Q17" s="41">
        <f>SUM(Q14:Q16)</f>
        <v>2497.1060000000002</v>
      </c>
      <c r="R17" s="41">
        <f>SUM(R14:R16)</f>
        <v>2363.1080000000002</v>
      </c>
      <c r="U17" s="41">
        <f>SUM(U14:U16)</f>
        <v>2822</v>
      </c>
      <c r="V17" s="41">
        <f>SUM(V14:V16)</f>
        <v>4144.5</v>
      </c>
      <c r="W17" s="41">
        <f>SUM(W14:W16)</f>
        <v>4141.5</v>
      </c>
      <c r="X17" s="41">
        <f>SUM(X14:X16)</f>
        <v>4369.5</v>
      </c>
      <c r="Y17" s="50"/>
      <c r="AA17" s="34">
        <f>SUM(AA14:AA16)</f>
        <v>5246</v>
      </c>
      <c r="AB17" s="34">
        <f>SUM(AB14:AB16)</f>
        <v>6228.5</v>
      </c>
      <c r="AC17" s="34">
        <f>SUM(AC14:AC16)</f>
        <v>7050.49</v>
      </c>
      <c r="AD17" s="34">
        <f>SUM(AD14:AD16)</f>
        <v>7611.1549999999997</v>
      </c>
      <c r="AE17" s="47"/>
      <c r="AF17" s="19"/>
      <c r="AG17" s="34">
        <f>SUM(AG14:AG16)</f>
        <v>10340.655000000001</v>
      </c>
      <c r="AH17" s="34">
        <f>SUM(AH14:AH16)</f>
        <v>9864.4519999999993</v>
      </c>
      <c r="AI17" s="34">
        <f>SUM(AI14:AI16)</f>
        <v>11534.523999999999</v>
      </c>
      <c r="AJ17" s="34">
        <f>SUM(AJ14:AJ16)</f>
        <v>12823.266</v>
      </c>
      <c r="AK17" s="50"/>
      <c r="AL17" s="19"/>
      <c r="AM17" s="34">
        <f>SUM(AM14:AM16)</f>
        <v>12500.056</v>
      </c>
      <c r="AN17" s="34">
        <f>SUM(AN14:AN16)</f>
        <v>15254.44</v>
      </c>
      <c r="AO17" s="34">
        <f>SUM(AO14:AO16)</f>
        <v>16141.16</v>
      </c>
      <c r="AP17" s="34">
        <f>SUM(AP14:AP16)</f>
        <v>12846.04</v>
      </c>
      <c r="AQ17" s="50"/>
      <c r="AR17" s="19"/>
      <c r="AS17" s="66">
        <f>SUM(AS14:AS16)</f>
        <v>10270.18</v>
      </c>
      <c r="AT17" s="66">
        <f>SUM(AT14:AT16)</f>
        <v>11921.12</v>
      </c>
      <c r="AU17" s="66">
        <f>SUM(AU14:AU16)</f>
        <v>8658.7999999999993</v>
      </c>
      <c r="AV17" s="66">
        <f>SUM(AV14:AV16)</f>
        <v>4803.84</v>
      </c>
      <c r="AW17" s="67"/>
      <c r="AX17" s="19"/>
      <c r="AY17" s="66">
        <f>SUM(AY14:AY16)</f>
        <v>4608.38</v>
      </c>
      <c r="AZ17" s="66">
        <f>SUM(AZ14:AZ16)</f>
        <v>6847.3499999999995</v>
      </c>
      <c r="BA17" s="66">
        <f>SUM(BA14:BA16)</f>
        <v>9743.08</v>
      </c>
      <c r="BB17" s="66">
        <f>SUM(BB14:BB16)</f>
        <v>9625.24</v>
      </c>
      <c r="BC17" s="67"/>
      <c r="BE17" s="66">
        <f>SUM(BE14:BE16)</f>
        <v>10627.42</v>
      </c>
      <c r="BF17" s="66">
        <f>SUM(BF14:BF16)</f>
        <v>10296.114</v>
      </c>
      <c r="BG17" s="66">
        <f>SUM(BG14:BG16)</f>
        <v>10539.470000000001</v>
      </c>
      <c r="BH17" s="66">
        <f>SUM(BH14:BH16)</f>
        <v>11139.316999999999</v>
      </c>
      <c r="BI17" s="67"/>
      <c r="BK17" s="66">
        <f>SUM(BK14:BK16)</f>
        <v>12137.111186</v>
      </c>
      <c r="BL17" s="66">
        <f>SUM(BL14:BL16)</f>
        <v>12730.322265999999</v>
      </c>
      <c r="BM17" s="66">
        <f>SUM(BM14:BM16)</f>
        <v>9556.4319079999987</v>
      </c>
      <c r="BN17" s="66">
        <f>SUM(BN14:BN16)</f>
        <v>8955.165814</v>
      </c>
      <c r="BO17" s="67"/>
      <c r="BQ17" s="66">
        <f>SUM(BQ14:BQ16)</f>
        <v>10544.886050000001</v>
      </c>
      <c r="BR17" s="66">
        <f>SUM(BR14:BR16)</f>
        <v>7222.09</v>
      </c>
      <c r="BS17" s="66">
        <f>SUM(BS14:BS16)</f>
        <v>0</v>
      </c>
      <c r="BT17" s="66">
        <f>SUM(BT14:BT16)</f>
        <v>0</v>
      </c>
      <c r="BU17" s="67"/>
    </row>
    <row r="18" spans="1:73" ht="13.5" thickTop="1">
      <c r="Y18" s="25"/>
      <c r="AA18" s="14"/>
      <c r="AB18" s="14"/>
      <c r="AC18" s="14"/>
      <c r="AD18" s="14"/>
      <c r="AE18" s="48"/>
      <c r="AF18" s="14"/>
      <c r="AG18" s="14"/>
      <c r="AH18" s="14"/>
      <c r="AI18" s="14"/>
      <c r="AJ18" s="14"/>
      <c r="AK18" s="25"/>
      <c r="AL18" s="14"/>
      <c r="AM18" s="14"/>
      <c r="AN18" s="14"/>
      <c r="AO18" s="14"/>
      <c r="AP18" s="14"/>
      <c r="AQ18" s="25"/>
      <c r="AR18" s="14"/>
      <c r="AS18" s="58"/>
      <c r="AT18" s="58"/>
      <c r="AU18" s="58"/>
      <c r="AV18" s="58"/>
      <c r="AW18" s="64"/>
      <c r="AX18" s="14"/>
      <c r="AY18" s="58"/>
      <c r="AZ18" s="58"/>
      <c r="BA18" s="58"/>
      <c r="BB18" s="58"/>
      <c r="BC18" s="64"/>
      <c r="BE18" s="58"/>
      <c r="BF18" s="58"/>
      <c r="BG18" s="58"/>
      <c r="BH18" s="58"/>
      <c r="BI18" s="64"/>
      <c r="BK18" s="58"/>
      <c r="BL18" s="58"/>
      <c r="BM18" s="58"/>
      <c r="BN18" s="58"/>
      <c r="BO18" s="64"/>
      <c r="BQ18" s="58"/>
      <c r="BR18" s="58"/>
      <c r="BS18" s="58"/>
      <c r="BT18" s="58"/>
      <c r="BU18" s="64"/>
    </row>
    <row r="19" spans="1:73">
      <c r="A19" s="4" t="s">
        <v>59</v>
      </c>
      <c r="F19" s="14">
        <f>'Segment Data'!G28</f>
        <v>315</v>
      </c>
      <c r="I19" s="14">
        <f>'Segment Data'!D28+'Segment Data'!E28+'Segment Data'!F28+'Segment Data'!I28</f>
        <v>344</v>
      </c>
      <c r="J19" s="14">
        <f>'Segment Data'!E28+'Segment Data'!F28+'Segment Data'!I28+'Segment Data'!J28</f>
        <v>261</v>
      </c>
      <c r="K19" s="14">
        <f>'Segment Data'!F28+'Segment Data'!I28+'Segment Data'!J28+'Segment Data'!K28</f>
        <v>303</v>
      </c>
      <c r="L19" s="14">
        <f>'Segment Data'!M28</f>
        <v>168</v>
      </c>
      <c r="O19" s="14">
        <f>'Segment Data'!J28+'Segment Data'!K28+'Segment Data'!L28+'Segment Data'!O28</f>
        <v>168</v>
      </c>
      <c r="P19" s="14">
        <f>'Segment Data'!K28+'Segment Data'!L28+'Segment Data'!O28+'Segment Data'!P28</f>
        <v>183</v>
      </c>
      <c r="Q19" s="14">
        <f>'Segment Data'!L28+'Segment Data'!O28+'Segment Data'!P28+'Segment Data'!Q28</f>
        <v>196</v>
      </c>
      <c r="R19" s="14">
        <f>'Segment Data'!S28</f>
        <v>386</v>
      </c>
      <c r="U19" s="14">
        <f>'Segment Data'!P28+'Segment Data'!Q28+'Segment Data'!R28+'Segment Data'!U28</f>
        <v>391</v>
      </c>
      <c r="V19" s="14">
        <f>'Segment Data'!Q28+'Segment Data'!R28+'Segment Data'!U28+'Segment Data'!V28</f>
        <v>439</v>
      </c>
      <c r="W19" s="14">
        <f>'Segment Data'!R28+'Segment Data'!U28+'Segment Data'!V28+'Segment Data'!W28</f>
        <v>602</v>
      </c>
      <c r="X19" s="14">
        <f>'Segment Data'!Y28</f>
        <v>616</v>
      </c>
      <c r="Y19" s="48"/>
      <c r="AA19" s="14">
        <f>'Segment Data'!V28+'Segment Data'!W28+'Segment Data'!X28+'Segment Data'!AG28</f>
        <v>670</v>
      </c>
      <c r="AB19" s="14">
        <f>'Segment Data'!AH28+'Segment Data'!AG28+'Segment Data'!X28+'Segment Data'!W28</f>
        <v>695</v>
      </c>
      <c r="AC19" s="14">
        <f>'Segment Data'!AI28+'Segment Data'!AH28+'Segment Data'!AG28+'Segment Data'!AD28</f>
        <v>628</v>
      </c>
      <c r="AD19" s="14">
        <f>'Segment Data'!AK28</f>
        <v>713</v>
      </c>
      <c r="AE19" s="48"/>
      <c r="AF19" s="14"/>
      <c r="AG19" s="14">
        <f>'Segment Data'!AH28+'Segment Data'!AI28+'Segment Data'!AJ28+'Segment Data'!AM28</f>
        <v>764</v>
      </c>
      <c r="AH19" s="14">
        <f>'Segment Data'!AN28+'Segment Data'!AM28+'Segment Data'!AJ28+'Segment Data'!AI28</f>
        <v>963</v>
      </c>
      <c r="AI19" s="14">
        <f>'Segment Data'!AO28+'Segment Data'!AN28+'Segment Data'!AM28+'Segment Data'!AJ28</f>
        <v>1028</v>
      </c>
      <c r="AJ19" s="14">
        <f>'Segment Data'!AQ28</f>
        <v>1022</v>
      </c>
      <c r="AK19" s="48"/>
      <c r="AL19" s="14"/>
      <c r="AM19" s="14">
        <f>'Segment Data'!AN28+'Segment Data'!AO28+'Segment Data'!AP28+'Segment Data'!AS28</f>
        <v>1102</v>
      </c>
      <c r="AN19" s="14">
        <f>'Segment Data'!AT28+'Segment Data'!AS28+'Segment Data'!AP28+'Segment Data'!AO28</f>
        <v>1126</v>
      </c>
      <c r="AO19" s="14">
        <f>'Segment Data'!AU28+'Segment Data'!AT28+'Segment Data'!AS28+'Segment Data'!AP28</f>
        <v>1204</v>
      </c>
      <c r="AP19" s="14">
        <f>'Segment Data'!AW28</f>
        <v>1433</v>
      </c>
      <c r="AQ19" s="48"/>
      <c r="AR19" s="14"/>
      <c r="AS19" s="14">
        <f>'Segment Data'!AT28+'Segment Data'!AU28+'Segment Data'!AV28+'Segment Data'!AY28</f>
        <v>1482</v>
      </c>
      <c r="AT19" s="14">
        <f>'Segment Data'!AZ28+'Segment Data'!AY28+'Segment Data'!AV28+'Segment Data'!AU28</f>
        <v>1546</v>
      </c>
      <c r="AU19" s="14">
        <f>'Segment Data'!BA28+'Segment Data'!AZ28+'Segment Data'!AY28+'Segment Data'!AV28</f>
        <v>1542</v>
      </c>
      <c r="AV19" s="14">
        <f>'Segment Data'!BC28</f>
        <v>1218</v>
      </c>
      <c r="AW19" s="55"/>
      <c r="AX19" s="14"/>
      <c r="AY19" s="14">
        <f>'Segment Data'!AZ28+'Segment Data'!BA28+'Segment Data'!BB28+'Segment Data'!BE28</f>
        <v>1040</v>
      </c>
      <c r="AZ19" s="14">
        <f>'Segment Data'!BF28+'Segment Data'!BE28+'Segment Data'!BB28+'Segment Data'!BA28</f>
        <v>816</v>
      </c>
      <c r="BA19" s="14">
        <f>'Segment Data'!BG28+'Segment Data'!BF28+'Segment Data'!BE28+'Segment Data'!BB28</f>
        <v>712</v>
      </c>
      <c r="BB19" s="14">
        <f>'Segment Data'!BI28</f>
        <v>783</v>
      </c>
      <c r="BC19" s="55"/>
      <c r="BE19" s="14">
        <f>'Segment Data'!BF28+'Segment Data'!BG28+'Segment Data'!BH28+'Segment Data'!BK28</f>
        <v>869</v>
      </c>
      <c r="BF19" s="14">
        <f>+'Segment Data'!BL28+'Segment Data'!BK28+'Segment Data'!BH28+'Segment Data'!BG28</f>
        <v>890</v>
      </c>
      <c r="BG19" s="14">
        <f>+'Segment Data'!BH28+'Segment Data'!BK28+'Segment Data'!BL28+'Segment Data'!BM28</f>
        <v>915</v>
      </c>
      <c r="BH19" s="14">
        <f>'Segment Data'!BO28</f>
        <v>899</v>
      </c>
      <c r="BI19" s="55"/>
      <c r="BK19" s="14">
        <f>+'Segment Data'!BQ28+'Segment Data'!BN28+'Segment Data'!BM28+'Segment Data'!BL28</f>
        <v>902</v>
      </c>
      <c r="BL19" s="14">
        <f>+'Segment Data'!BR28+'Segment Data'!BQ28+'Segment Data'!BN28+'Segment Data'!BM28</f>
        <v>854</v>
      </c>
      <c r="BM19" s="14">
        <f>+'Segment Data'!BN28+'Segment Data'!BQ28+'Segment Data'!BR28+'Segment Data'!BS28</f>
        <v>916</v>
      </c>
      <c r="BN19" s="14">
        <f>'Segment Data'!BU28</f>
        <v>1003</v>
      </c>
      <c r="BO19" s="55"/>
      <c r="BQ19" s="58">
        <f>+'Segment Data'!BW28+'Segment Data'!BT28+'Segment Data'!BS28+'Segment Data'!BR28</f>
        <v>1015</v>
      </c>
      <c r="BR19" s="14">
        <f>+'Segment Data'!BX28+'Segment Data'!BW28+'Segment Data'!BT28+'Segment Data'!BS28</f>
        <v>1034</v>
      </c>
      <c r="BS19" s="14"/>
      <c r="BT19" s="14"/>
      <c r="BU19" s="55"/>
    </row>
    <row r="20" spans="1:73">
      <c r="A20" s="24" t="s">
        <v>168</v>
      </c>
      <c r="Y20" s="25"/>
      <c r="AA20" s="14"/>
      <c r="AB20" s="14"/>
      <c r="AC20" s="14"/>
      <c r="AD20" s="14"/>
      <c r="AE20" s="48"/>
      <c r="AF20" s="14"/>
      <c r="AG20" s="14"/>
      <c r="AH20" s="14"/>
      <c r="AI20" s="14"/>
      <c r="AJ20" s="14"/>
      <c r="AK20" s="25"/>
      <c r="AL20" s="14"/>
      <c r="AM20" s="14"/>
      <c r="AN20" s="14"/>
      <c r="AO20" s="14"/>
      <c r="AP20" s="14"/>
      <c r="AQ20" s="25"/>
      <c r="AR20" s="14"/>
      <c r="AS20" s="58"/>
      <c r="AT20" s="58"/>
      <c r="AU20" s="58"/>
      <c r="AV20" s="58"/>
      <c r="AW20" s="64"/>
      <c r="AX20" s="14"/>
      <c r="AY20" s="58"/>
      <c r="AZ20" s="58"/>
      <c r="BA20" s="58"/>
      <c r="BB20" s="58"/>
      <c r="BC20" s="64"/>
      <c r="BE20" s="58"/>
      <c r="BF20" s="58"/>
      <c r="BG20" s="58"/>
      <c r="BH20" s="58"/>
      <c r="BI20" s="64"/>
      <c r="BK20" s="58"/>
      <c r="BL20" s="58"/>
      <c r="BM20" s="58"/>
      <c r="BN20" s="58"/>
      <c r="BO20" s="64"/>
      <c r="BQ20" s="58"/>
      <c r="BR20" s="58"/>
      <c r="BS20" s="58"/>
      <c r="BT20" s="58"/>
      <c r="BU20" s="64"/>
    </row>
    <row r="21" spans="1:73">
      <c r="A21" s="4" t="s">
        <v>60</v>
      </c>
      <c r="F21" s="4">
        <v>-90</v>
      </c>
      <c r="I21" s="4">
        <v>-90</v>
      </c>
      <c r="J21" s="4">
        <v>-15</v>
      </c>
      <c r="K21" s="4">
        <v>-15</v>
      </c>
      <c r="Y21" s="25"/>
      <c r="AA21" s="14"/>
      <c r="AB21" s="14"/>
      <c r="AC21" s="14"/>
      <c r="AD21" s="14"/>
      <c r="AE21" s="48"/>
      <c r="AF21" s="14"/>
      <c r="AG21" s="14"/>
      <c r="AH21" s="14"/>
      <c r="AI21" s="14"/>
      <c r="AJ21" s="14"/>
      <c r="AK21" s="25"/>
      <c r="AL21" s="14"/>
      <c r="AM21" s="14"/>
      <c r="AN21" s="14"/>
      <c r="AO21" s="14"/>
      <c r="AP21" s="14"/>
      <c r="AQ21" s="25"/>
      <c r="AR21" s="14"/>
      <c r="AS21" s="58"/>
      <c r="AT21" s="58"/>
      <c r="AU21" s="58"/>
      <c r="AV21" s="58"/>
      <c r="AW21" s="64"/>
      <c r="AX21" s="14"/>
      <c r="AY21" s="58"/>
      <c r="AZ21" s="58"/>
      <c r="BA21" s="58"/>
      <c r="BB21" s="58"/>
      <c r="BC21" s="64"/>
      <c r="BE21" s="58"/>
      <c r="BF21" s="58"/>
      <c r="BG21" s="58"/>
      <c r="BH21" s="58"/>
      <c r="BI21" s="64"/>
      <c r="BK21" s="58"/>
      <c r="BL21" s="58"/>
      <c r="BM21" s="58"/>
      <c r="BN21" s="58"/>
      <c r="BO21" s="64"/>
      <c r="BQ21" s="58"/>
      <c r="BR21" s="58"/>
      <c r="BS21" s="58"/>
      <c r="BT21" s="58"/>
      <c r="BU21" s="64"/>
    </row>
    <row r="22" spans="1:73">
      <c r="A22" s="4" t="s">
        <v>61</v>
      </c>
      <c r="I22" s="4">
        <v>-60</v>
      </c>
      <c r="J22" s="4">
        <v>-71</v>
      </c>
      <c r="K22" s="4">
        <v>-110</v>
      </c>
      <c r="L22" s="4">
        <v>-125</v>
      </c>
      <c r="O22" s="4">
        <v>-65</v>
      </c>
      <c r="P22" s="4">
        <v>-54</v>
      </c>
      <c r="Q22" s="4">
        <v>-15</v>
      </c>
      <c r="W22" s="4">
        <v>-138</v>
      </c>
      <c r="X22" s="4">
        <v>-186</v>
      </c>
      <c r="Y22" s="25"/>
      <c r="AA22" s="14">
        <v>-191</v>
      </c>
      <c r="AB22" s="14">
        <v>-191</v>
      </c>
      <c r="AC22" s="14">
        <v>-53</v>
      </c>
      <c r="AD22" s="14">
        <v>-39</v>
      </c>
      <c r="AE22" s="48"/>
      <c r="AF22" s="14"/>
      <c r="AG22" s="14">
        <v>-39</v>
      </c>
      <c r="AH22" s="14">
        <f>-109-25</f>
        <v>-134</v>
      </c>
      <c r="AI22" s="14">
        <f>-113-25</f>
        <v>-138</v>
      </c>
      <c r="AJ22" s="14">
        <v>-108</v>
      </c>
      <c r="AK22" s="25"/>
      <c r="AL22" s="14"/>
      <c r="AM22" s="14">
        <v>-108</v>
      </c>
      <c r="AN22" s="14">
        <v>0</v>
      </c>
      <c r="AO22" s="14">
        <v>0</v>
      </c>
      <c r="AP22" s="14">
        <v>-70</v>
      </c>
      <c r="AQ22" s="25"/>
      <c r="AR22" s="14"/>
      <c r="AS22" s="58">
        <v>-70</v>
      </c>
      <c r="AT22" s="58">
        <v>-70</v>
      </c>
      <c r="AU22" s="58">
        <v>-70</v>
      </c>
      <c r="AV22" s="58"/>
      <c r="AW22" s="64"/>
      <c r="AX22" s="14"/>
      <c r="AY22" s="58"/>
      <c r="AZ22" s="58"/>
      <c r="BA22" s="58"/>
      <c r="BB22" s="58"/>
      <c r="BC22" s="64"/>
      <c r="BE22" s="58"/>
      <c r="BF22" s="58"/>
      <c r="BG22" s="58"/>
      <c r="BH22" s="58"/>
      <c r="BI22" s="64"/>
      <c r="BK22" s="58"/>
      <c r="BL22" s="58"/>
      <c r="BM22" s="58"/>
      <c r="BN22" s="58"/>
      <c r="BO22" s="64"/>
      <c r="BQ22" s="58"/>
      <c r="BR22" s="58"/>
      <c r="BS22" s="58"/>
      <c r="BT22" s="58"/>
      <c r="BU22" s="64"/>
    </row>
    <row r="23" spans="1:73">
      <c r="A23" s="4" t="s">
        <v>62</v>
      </c>
      <c r="L23" s="4">
        <v>121</v>
      </c>
      <c r="O23" s="4">
        <v>121</v>
      </c>
      <c r="P23" s="4">
        <v>121</v>
      </c>
      <c r="Q23" s="4">
        <v>121</v>
      </c>
      <c r="X23" s="4">
        <v>24</v>
      </c>
      <c r="Y23" s="25"/>
      <c r="AA23" s="14">
        <v>24</v>
      </c>
      <c r="AB23" s="14">
        <v>59</v>
      </c>
      <c r="AC23" s="14">
        <v>59</v>
      </c>
      <c r="AD23" s="14">
        <v>35</v>
      </c>
      <c r="AE23" s="48"/>
      <c r="AF23" s="14"/>
      <c r="AG23" s="14">
        <v>35</v>
      </c>
      <c r="AH23" s="14">
        <v>0</v>
      </c>
      <c r="AI23" s="14">
        <v>0</v>
      </c>
      <c r="AJ23" s="14">
        <v>0</v>
      </c>
      <c r="AK23" s="25"/>
      <c r="AL23" s="14"/>
      <c r="AM23" s="14"/>
      <c r="AN23" s="14"/>
      <c r="AO23" s="14"/>
      <c r="AP23" s="14"/>
      <c r="AQ23" s="25"/>
      <c r="AR23" s="14"/>
      <c r="AS23" s="58"/>
      <c r="AT23" s="58"/>
      <c r="AU23" s="58">
        <v>31</v>
      </c>
      <c r="AV23" s="58">
        <v>82</v>
      </c>
      <c r="AW23" s="64"/>
      <c r="AX23" s="14"/>
      <c r="AY23" s="58">
        <v>102</v>
      </c>
      <c r="AZ23" s="58">
        <v>159</v>
      </c>
      <c r="BA23" s="58">
        <v>166</v>
      </c>
      <c r="BB23" s="84">
        <v>152</v>
      </c>
      <c r="BC23" s="64"/>
      <c r="BE23" s="58">
        <f>152-20+22</f>
        <v>154</v>
      </c>
      <c r="BF23" s="58">
        <v>121</v>
      </c>
      <c r="BG23" s="58">
        <v>110</v>
      </c>
      <c r="BH23" s="84">
        <v>86</v>
      </c>
      <c r="BI23" s="64"/>
      <c r="BK23" s="58">
        <v>69</v>
      </c>
      <c r="BL23" s="58">
        <v>54</v>
      </c>
      <c r="BM23" s="58">
        <v>31</v>
      </c>
      <c r="BN23" s="84">
        <v>33</v>
      </c>
      <c r="BO23" s="64"/>
      <c r="BQ23" s="58">
        <v>29</v>
      </c>
      <c r="BR23" s="58">
        <v>31</v>
      </c>
      <c r="BS23" s="58"/>
      <c r="BT23" s="84"/>
      <c r="BU23" s="64"/>
    </row>
    <row r="24" spans="1:73">
      <c r="A24" s="4" t="s">
        <v>84</v>
      </c>
      <c r="V24" s="4">
        <v>93</v>
      </c>
      <c r="W24" s="4">
        <v>69</v>
      </c>
      <c r="X24" s="4">
        <v>59</v>
      </c>
      <c r="Y24" s="25"/>
      <c r="AA24" s="14">
        <v>25</v>
      </c>
      <c r="AB24" s="14">
        <v>0</v>
      </c>
      <c r="AC24" s="14">
        <v>0</v>
      </c>
      <c r="AD24" s="14">
        <v>0</v>
      </c>
      <c r="AE24" s="48"/>
      <c r="AF24" s="14"/>
      <c r="AG24" s="14"/>
      <c r="AH24" s="14"/>
      <c r="AI24" s="14"/>
      <c r="AJ24" s="14"/>
      <c r="AK24" s="25"/>
      <c r="AL24" s="14"/>
      <c r="AM24" s="14">
        <v>100</v>
      </c>
      <c r="AN24" s="58">
        <v>60</v>
      </c>
      <c r="AO24" s="58">
        <v>30</v>
      </c>
      <c r="AP24" s="14"/>
      <c r="AQ24" s="25"/>
      <c r="AR24" s="14"/>
      <c r="AS24" s="58"/>
      <c r="AT24" s="58"/>
      <c r="AU24" s="58"/>
      <c r="AV24" s="58"/>
      <c r="AW24" s="64"/>
      <c r="AX24" s="14"/>
      <c r="AY24" s="58"/>
      <c r="AZ24" s="58"/>
      <c r="BA24" s="58"/>
      <c r="BB24" s="58"/>
      <c r="BC24" s="64"/>
      <c r="BE24" s="58"/>
      <c r="BF24" s="58"/>
      <c r="BG24" s="58"/>
      <c r="BH24" s="58"/>
      <c r="BI24" s="64"/>
      <c r="BK24" s="58"/>
      <c r="BL24" s="58"/>
      <c r="BM24" s="58"/>
      <c r="BN24" s="58"/>
      <c r="BO24" s="64"/>
      <c r="BQ24" s="58"/>
      <c r="BR24" s="58"/>
      <c r="BS24" s="58"/>
      <c r="BT24" s="58"/>
      <c r="BU24" s="64"/>
    </row>
    <row r="25" spans="1:73">
      <c r="A25" s="4" t="s">
        <v>70</v>
      </c>
      <c r="O25" s="4">
        <v>-6</v>
      </c>
      <c r="P25" s="4">
        <v>-6</v>
      </c>
      <c r="Q25" s="4">
        <v>-6</v>
      </c>
      <c r="R25" s="4">
        <v>-26</v>
      </c>
      <c r="U25" s="4">
        <v>-20</v>
      </c>
      <c r="V25" s="4">
        <v>-20</v>
      </c>
      <c r="W25" s="4">
        <v>-20</v>
      </c>
      <c r="Y25" s="25"/>
      <c r="AA25" s="14"/>
      <c r="AB25" s="14"/>
      <c r="AC25" s="14"/>
      <c r="AD25" s="14"/>
      <c r="AE25" s="48"/>
      <c r="AF25" s="14"/>
      <c r="AG25" s="14"/>
      <c r="AH25" s="14"/>
      <c r="AI25" s="14"/>
      <c r="AJ25" s="14"/>
      <c r="AK25" s="25"/>
      <c r="AL25" s="14"/>
      <c r="AM25" s="14"/>
      <c r="AN25" s="14"/>
      <c r="AO25" s="14"/>
      <c r="AP25" s="14"/>
      <c r="AQ25" s="25"/>
      <c r="AR25" s="14"/>
      <c r="AS25" s="58"/>
      <c r="AT25" s="58"/>
      <c r="AU25" s="58"/>
      <c r="AV25" s="58"/>
      <c r="AW25" s="64"/>
      <c r="AX25" s="14"/>
      <c r="AY25" s="58"/>
      <c r="AZ25" s="58"/>
      <c r="BA25" s="58"/>
      <c r="BB25" s="58"/>
      <c r="BC25" s="64"/>
      <c r="BE25" s="58"/>
      <c r="BF25" s="58"/>
      <c r="BG25" s="58"/>
      <c r="BH25" s="58"/>
      <c r="BI25" s="64"/>
      <c r="BK25" s="58"/>
      <c r="BL25" s="58"/>
      <c r="BM25" s="58"/>
      <c r="BN25" s="58"/>
      <c r="BO25" s="64"/>
      <c r="BQ25" s="58"/>
      <c r="BR25" s="58"/>
      <c r="BS25" s="58"/>
      <c r="BT25" s="58"/>
      <c r="BU25" s="64"/>
    </row>
    <row r="26" spans="1:73" s="12" customFormat="1" ht="13.5" thickBot="1">
      <c r="A26" s="12" t="s">
        <v>169</v>
      </c>
      <c r="B26" s="6"/>
      <c r="F26" s="34">
        <f>SUM(F19:F25)</f>
        <v>225</v>
      </c>
      <c r="H26" s="3"/>
      <c r="I26" s="34">
        <f>SUM(I19:I25)</f>
        <v>194</v>
      </c>
      <c r="J26" s="34">
        <f>SUM(J19:J25)</f>
        <v>175</v>
      </c>
      <c r="K26" s="34">
        <f>SUM(K19:K25)</f>
        <v>178</v>
      </c>
      <c r="L26" s="34">
        <f>SUM(L19:L25)</f>
        <v>164</v>
      </c>
      <c r="O26" s="34">
        <f>SUM(O19:O25)</f>
        <v>218</v>
      </c>
      <c r="P26" s="34">
        <f>SUM(P19:P25)</f>
        <v>244</v>
      </c>
      <c r="Q26" s="34">
        <f>SUM(Q19:Q25)</f>
        <v>296</v>
      </c>
      <c r="R26" s="34">
        <f>SUM(R19:R25)</f>
        <v>360</v>
      </c>
      <c r="U26" s="34">
        <f>SUM(U19:U25)</f>
        <v>371</v>
      </c>
      <c r="V26" s="34">
        <f>SUM(V19:V25)</f>
        <v>512</v>
      </c>
      <c r="W26" s="34">
        <f>SUM(W19:W25)</f>
        <v>513</v>
      </c>
      <c r="X26" s="34">
        <f>SUM(X19:X25)</f>
        <v>513</v>
      </c>
      <c r="Y26" s="47"/>
      <c r="AA26" s="34">
        <f>SUM(AA19:AA25)</f>
        <v>528</v>
      </c>
      <c r="AB26" s="34">
        <f>SUM(AB19:AB25)</f>
        <v>563</v>
      </c>
      <c r="AC26" s="34">
        <f>SUM(AC19:AC25)</f>
        <v>634</v>
      </c>
      <c r="AD26" s="34">
        <f>SUM(AD19:AD25)</f>
        <v>709</v>
      </c>
      <c r="AE26" s="47"/>
      <c r="AF26" s="19"/>
      <c r="AG26" s="34">
        <f>SUM(AG19:AG25)</f>
        <v>760</v>
      </c>
      <c r="AH26" s="34">
        <f>SUM(AH19:AH25)</f>
        <v>829</v>
      </c>
      <c r="AI26" s="34">
        <f>SUM(AI19:AI25)</f>
        <v>890</v>
      </c>
      <c r="AJ26" s="34">
        <f>SUM(AJ19:AJ25)</f>
        <v>914</v>
      </c>
      <c r="AK26" s="47"/>
      <c r="AL26" s="19"/>
      <c r="AM26" s="34">
        <f>SUM(AM19:AM25)</f>
        <v>1094</v>
      </c>
      <c r="AN26" s="34">
        <f>SUM(AN19:AN25)</f>
        <v>1186</v>
      </c>
      <c r="AO26" s="34">
        <f>SUM(AO19:AO25)</f>
        <v>1234</v>
      </c>
      <c r="AP26" s="34">
        <f>SUM(AP19:AP25)</f>
        <v>1363</v>
      </c>
      <c r="AQ26" s="47"/>
      <c r="AR26" s="19"/>
      <c r="AS26" s="66">
        <f>SUM(AS19:AS25)</f>
        <v>1412</v>
      </c>
      <c r="AT26" s="66">
        <f>SUM(AT19:AT25)</f>
        <v>1476</v>
      </c>
      <c r="AU26" s="66">
        <f>SUM(AU19:AU25)</f>
        <v>1503</v>
      </c>
      <c r="AV26" s="66">
        <f>SUM(AV19:AV25)</f>
        <v>1300</v>
      </c>
      <c r="AW26" s="16"/>
      <c r="AX26" s="19"/>
      <c r="AY26" s="66">
        <f>SUM(AY19:AY25)</f>
        <v>1142</v>
      </c>
      <c r="AZ26" s="66">
        <f>SUM(AZ19:AZ25)</f>
        <v>975</v>
      </c>
      <c r="BA26" s="66">
        <f>SUM(BA19:BA25)</f>
        <v>878</v>
      </c>
      <c r="BB26" s="66">
        <f>SUM(BB19:BB25)</f>
        <v>935</v>
      </c>
      <c r="BC26" s="16"/>
      <c r="BE26" s="66">
        <f>SUM(BE19:BE25)</f>
        <v>1023</v>
      </c>
      <c r="BF26" s="66">
        <f>SUM(BF19:BF25)</f>
        <v>1011</v>
      </c>
      <c r="BG26" s="66">
        <f>SUM(BG19:BG25)</f>
        <v>1025</v>
      </c>
      <c r="BH26" s="66">
        <f>SUM(BH19:BH25)</f>
        <v>985</v>
      </c>
      <c r="BI26" s="16"/>
      <c r="BK26" s="66">
        <f>SUM(BK19:BK25)</f>
        <v>971</v>
      </c>
      <c r="BL26" s="66">
        <f>SUM(BL19:BL25)</f>
        <v>908</v>
      </c>
      <c r="BM26" s="66">
        <f>SUM(BM19:BM25)</f>
        <v>947</v>
      </c>
      <c r="BN26" s="66">
        <f>SUM(BN19:BN25)</f>
        <v>1036</v>
      </c>
      <c r="BO26" s="16"/>
      <c r="BQ26" s="66">
        <f>SUM(BQ19:BQ25)</f>
        <v>1044</v>
      </c>
      <c r="BR26" s="66">
        <f>SUM(BR19:BR25)</f>
        <v>1065</v>
      </c>
      <c r="BS26" s="66">
        <f>SUM(BS19:BS25)</f>
        <v>0</v>
      </c>
      <c r="BT26" s="66">
        <f>SUM(BT19:BT25)</f>
        <v>0</v>
      </c>
      <c r="BU26" s="16"/>
    </row>
    <row r="27" spans="1:73" ht="13.5" thickTop="1">
      <c r="Y27" s="25"/>
      <c r="AA27" s="14"/>
      <c r="AB27" s="14"/>
      <c r="AC27" s="14"/>
      <c r="AD27" s="14"/>
      <c r="AE27" s="48"/>
      <c r="AF27" s="14"/>
      <c r="AG27" s="14"/>
      <c r="AH27" s="14"/>
      <c r="AI27" s="14"/>
      <c r="AJ27" s="14"/>
      <c r="AK27" s="25"/>
      <c r="AL27" s="14"/>
      <c r="AM27" s="14"/>
      <c r="AN27" s="14"/>
      <c r="AO27" s="14"/>
      <c r="AP27" s="14"/>
      <c r="AQ27" s="25"/>
      <c r="AR27" s="14"/>
      <c r="AS27" s="58"/>
      <c r="AT27" s="58"/>
      <c r="AU27" s="58"/>
      <c r="AV27" s="58"/>
      <c r="AW27" s="64"/>
      <c r="AX27" s="14"/>
      <c r="AY27" s="58"/>
      <c r="AZ27" s="58"/>
      <c r="BA27" s="58"/>
      <c r="BB27" s="58"/>
      <c r="BC27" s="64"/>
      <c r="BE27" s="58"/>
      <c r="BF27" s="58"/>
      <c r="BG27" s="58"/>
      <c r="BH27" s="58"/>
      <c r="BI27" s="64"/>
      <c r="BK27" s="58"/>
      <c r="BL27" s="58"/>
      <c r="BM27" s="58"/>
      <c r="BN27" s="58"/>
      <c r="BO27" s="64"/>
      <c r="BQ27" s="58"/>
      <c r="BR27" s="58"/>
      <c r="BS27" s="58"/>
      <c r="BT27" s="58"/>
      <c r="BU27" s="64"/>
    </row>
    <row r="28" spans="1:73">
      <c r="A28" s="4" t="s">
        <v>63</v>
      </c>
      <c r="F28" s="14">
        <f>F26-F29</f>
        <v>300</v>
      </c>
      <c r="I28" s="14">
        <f>I26-I29</f>
        <v>289</v>
      </c>
      <c r="J28" s="14">
        <f>J26-J29</f>
        <v>292</v>
      </c>
      <c r="K28" s="14">
        <f>K26-K29</f>
        <v>308</v>
      </c>
      <c r="L28" s="14">
        <f>L26-L29</f>
        <v>314</v>
      </c>
      <c r="O28" s="14">
        <f>O26-O29</f>
        <v>358</v>
      </c>
      <c r="P28" s="14">
        <f>P26-P29</f>
        <v>366</v>
      </c>
      <c r="Q28" s="14">
        <f>Q26-Q29</f>
        <v>412</v>
      </c>
      <c r="R28" s="14">
        <f>R26-R29</f>
        <v>445</v>
      </c>
      <c r="U28" s="14">
        <f>U26-U29</f>
        <v>451</v>
      </c>
      <c r="V28" s="14">
        <f>V26-V29</f>
        <v>591</v>
      </c>
      <c r="W28" s="14">
        <f>W26-W29</f>
        <v>586</v>
      </c>
      <c r="X28" s="14">
        <f>X26-X29</f>
        <v>587</v>
      </c>
      <c r="Y28" s="48"/>
      <c r="AA28" s="14">
        <f>AA26-AA29</f>
        <v>582</v>
      </c>
      <c r="AB28" s="14">
        <f>AB26-AB29</f>
        <v>603</v>
      </c>
      <c r="AC28" s="14">
        <f>AC26-AC29</f>
        <v>656</v>
      </c>
      <c r="AD28" s="14">
        <f>AD26-AD29</f>
        <v>717</v>
      </c>
      <c r="AE28" s="48"/>
      <c r="AF28" s="14"/>
      <c r="AG28" s="14">
        <f>AG26-AG29</f>
        <v>773</v>
      </c>
      <c r="AH28" s="14">
        <f>AH26-AH29</f>
        <v>844</v>
      </c>
      <c r="AI28" s="14">
        <f>AI26-AI29</f>
        <v>911</v>
      </c>
      <c r="AJ28" s="14">
        <f>AJ26-AJ29</f>
        <v>932</v>
      </c>
      <c r="AK28" s="48"/>
      <c r="AL28" s="14"/>
      <c r="AM28" s="14">
        <f>AM26-AM29</f>
        <v>1116</v>
      </c>
      <c r="AN28" s="14">
        <f>AN26-AN29</f>
        <v>1204</v>
      </c>
      <c r="AO28" s="14">
        <f>AO26-AO29</f>
        <v>1248</v>
      </c>
      <c r="AP28" s="14">
        <f>AP26-AP29</f>
        <v>1381</v>
      </c>
      <c r="AQ28" s="48"/>
      <c r="AR28" s="14"/>
      <c r="AS28" s="58">
        <f>AS26-AS29</f>
        <v>1434</v>
      </c>
      <c r="AT28" s="58">
        <f>AT26-AT29</f>
        <v>1496</v>
      </c>
      <c r="AU28" s="58">
        <f>AU26-AU29</f>
        <v>1525</v>
      </c>
      <c r="AV28" s="58">
        <f>AV26-AV29</f>
        <v>1330</v>
      </c>
      <c r="AW28" s="55"/>
      <c r="AX28" s="14"/>
      <c r="AY28" s="58">
        <f>AY26-AY29</f>
        <v>1167</v>
      </c>
      <c r="AZ28" s="58">
        <f>AZ26-AZ29</f>
        <v>1012</v>
      </c>
      <c r="BA28" s="58">
        <f>BA26-BA29</f>
        <v>919</v>
      </c>
      <c r="BB28" s="58">
        <f>BB26-BB29</f>
        <v>966</v>
      </c>
      <c r="BC28" s="55"/>
      <c r="BE28" s="58">
        <f>BE26-BE29</f>
        <v>1052</v>
      </c>
      <c r="BF28" s="58">
        <f>BF26-BF29</f>
        <v>1033</v>
      </c>
      <c r="BG28" s="58">
        <f>BG26-BG29</f>
        <v>1040</v>
      </c>
      <c r="BH28" s="58">
        <f>BH26-BH29</f>
        <v>996</v>
      </c>
      <c r="BI28" s="55"/>
      <c r="BK28" s="58">
        <f>BK26-BK29</f>
        <v>984</v>
      </c>
      <c r="BL28" s="58">
        <f>BL26-BL29</f>
        <v>917</v>
      </c>
      <c r="BM28" s="58">
        <f>BM26-BM29</f>
        <v>951</v>
      </c>
      <c r="BN28" s="58">
        <f>BN26-BN29</f>
        <v>1035</v>
      </c>
      <c r="BO28" s="55"/>
      <c r="BQ28" s="58">
        <f>BQ26-BQ29</f>
        <v>1036</v>
      </c>
      <c r="BR28" s="58">
        <f>BR26-BR29</f>
        <v>1060</v>
      </c>
      <c r="BS28" s="58"/>
      <c r="BT28" s="58"/>
      <c r="BU28" s="55"/>
    </row>
    <row r="29" spans="1:73">
      <c r="A29" s="4" t="s">
        <v>64</v>
      </c>
      <c r="F29" s="14">
        <f>'Segment Data'!G25+'Segment Data'!G26</f>
        <v>-75</v>
      </c>
      <c r="I29" s="14">
        <f>'Segment Data'!D25+'Segment Data'!E25+'Segment Data'!F25+'Segment Data'!D26+'Segment Data'!E26+'Segment Data'!F26+'Segment Data'!I25+'Segment Data'!I26</f>
        <v>-95</v>
      </c>
      <c r="J29" s="14">
        <f>'Segment Data'!E25+'Segment Data'!F25+'Segment Data'!E26+'Segment Data'!F26+'Segment Data'!I25+'Segment Data'!J25+'Segment Data'!I26+'Segment Data'!J26</f>
        <v>-117</v>
      </c>
      <c r="K29" s="14">
        <f>'Segment Data'!F25+'Segment Data'!F26+'Segment Data'!I25+'Segment Data'!I26+'Segment Data'!J25+'Segment Data'!J26+'Segment Data'!K25+'Segment Data'!K26</f>
        <v>-130</v>
      </c>
      <c r="L29" s="14">
        <f>'Segment Data'!M25+'Segment Data'!M26</f>
        <v>-150</v>
      </c>
      <c r="O29" s="14">
        <f>'Segment Data'!J25+'Segment Data'!J26+'Segment Data'!K25+'Segment Data'!K26+'Segment Data'!L25+'Segment Data'!L26+'Segment Data'!O25+'Segment Data'!O26</f>
        <v>-140</v>
      </c>
      <c r="P29" s="14">
        <f>'Segment Data'!K25+'Segment Data'!K26+'Segment Data'!L25+'Segment Data'!L26+'Segment Data'!O25+'Segment Data'!O26+'Segment Data'!P25+'Segment Data'!P26</f>
        <v>-122</v>
      </c>
      <c r="Q29" s="14">
        <f>'Segment Data'!L25+'Segment Data'!L26+'Segment Data'!O25+'Segment Data'!O26+'Segment Data'!P25+'Segment Data'!P26+'Segment Data'!Q25+'Segment Data'!Q26</f>
        <v>-116</v>
      </c>
      <c r="R29" s="14">
        <f>'Segment Data'!S25+'Segment Data'!S26</f>
        <v>-85</v>
      </c>
      <c r="U29" s="14">
        <f>'Segment Data'!P25+'Segment Data'!P26+'Segment Data'!Q25+'Segment Data'!Q26+'Segment Data'!R25+'Segment Data'!R26+'Segment Data'!U25+'Segment Data'!U26</f>
        <v>-80</v>
      </c>
      <c r="V29" s="14">
        <f>'Segment Data'!Q25+'Segment Data'!Q26+'Segment Data'!R25+'Segment Data'!R26+'Segment Data'!U25+'Segment Data'!U26+'Segment Data'!V25+'Segment Data'!V26</f>
        <v>-79</v>
      </c>
      <c r="W29" s="14">
        <f>'Segment Data'!R25+'Segment Data'!R26+'Segment Data'!U25+'Segment Data'!U26+'Segment Data'!V25+'Segment Data'!V26+'Segment Data'!W25+'Segment Data'!W26</f>
        <v>-73</v>
      </c>
      <c r="X29" s="14">
        <v>-74</v>
      </c>
      <c r="Y29" s="48"/>
      <c r="AA29" s="14">
        <f>'Segment Data'!V25+'Segment Data'!V26+'Segment Data'!W25+'Segment Data'!W26+'Segment Data'!X25+'Segment Data'!X26+'Segment Data'!AG25+'Segment Data'!AG26+14</f>
        <v>-54</v>
      </c>
      <c r="AB29" s="14">
        <f>'Segment Data'!AH25+'Segment Data'!AG25+'Segment Data'!X25+'Segment Data'!W25+14</f>
        <v>-40</v>
      </c>
      <c r="AC29" s="14">
        <f>'Segment Data'!AI25+'Segment Data'!AH25+'Segment Data'!AG25+'Segment Data'!AD25+14</f>
        <v>-22</v>
      </c>
      <c r="AD29" s="14">
        <f>'Segment Data'!AK25</f>
        <v>-8</v>
      </c>
      <c r="AE29" s="48"/>
      <c r="AF29" s="14"/>
      <c r="AG29" s="14">
        <f>'Segment Data'!AH25+'Segment Data'!AI25+'Segment Data'!AJ25+'Segment Data'!AM25</f>
        <v>-13</v>
      </c>
      <c r="AH29" s="14">
        <f>'Segment Data'!AN25+'Segment Data'!AM25+'Segment Data'!AJ25+'Segment Data'!AI25</f>
        <v>-15</v>
      </c>
      <c r="AI29" s="14">
        <f>'Segment Data'!AO25+'Segment Data'!AN25+'Segment Data'!AM25+'Segment Data'!AJ25</f>
        <v>-21</v>
      </c>
      <c r="AJ29" s="14">
        <f>'Segment Data'!AQ25</f>
        <v>-18</v>
      </c>
      <c r="AK29" s="48"/>
      <c r="AL29" s="14"/>
      <c r="AM29" s="14">
        <f>'Segment Data'!AN25+'Segment Data'!AO25+'Segment Data'!AP25+'Segment Data'!AS25</f>
        <v>-22</v>
      </c>
      <c r="AN29" s="14">
        <f>'Segment Data'!AO25+'Segment Data'!AP25+'Segment Data'!AS25+'Segment Data'!AT25</f>
        <v>-18</v>
      </c>
      <c r="AO29" s="14">
        <f>'Segment Data'!AP25+'Segment Data'!AS25+'Segment Data'!AT25+'Segment Data'!AU25</f>
        <v>-14</v>
      </c>
      <c r="AP29" s="14">
        <f>+'Segment Data'!AW25</f>
        <v>-18</v>
      </c>
      <c r="AQ29" s="48"/>
      <c r="AR29" s="14"/>
      <c r="AS29" s="14">
        <f>'Segment Data'!AT25+'Segment Data'!AU25+'Segment Data'!AV25+'Segment Data'!AY25</f>
        <v>-22</v>
      </c>
      <c r="AT29" s="14">
        <f>'Segment Data'!AU25+'Segment Data'!AV25+'Segment Data'!AY25+'Segment Data'!AZ25</f>
        <v>-20</v>
      </c>
      <c r="AU29" s="14">
        <f>'Segment Data'!AV25+'Segment Data'!AY25+'Segment Data'!AZ25+'Segment Data'!BA25</f>
        <v>-22</v>
      </c>
      <c r="AV29" s="14">
        <f>+'Segment Data'!BC25</f>
        <v>-30</v>
      </c>
      <c r="AW29" s="55"/>
      <c r="AX29" s="14"/>
      <c r="AY29" s="14">
        <f>'Segment Data'!AZ25+'Segment Data'!BA25+'Segment Data'!BB25+'Segment Data'!BE25</f>
        <v>-25</v>
      </c>
      <c r="AZ29" s="14">
        <f>'Segment Data'!BA25+'Segment Data'!BB25+'Segment Data'!BE25+'Segment Data'!BF25</f>
        <v>-37</v>
      </c>
      <c r="BA29" s="14">
        <f>'Segment Data'!BB25+'Segment Data'!BE25+'Segment Data'!BF25+'Segment Data'!BG25</f>
        <v>-41</v>
      </c>
      <c r="BB29" s="14">
        <f>'Segment Data'!BI25</f>
        <v>-31</v>
      </c>
      <c r="BC29" s="55"/>
      <c r="BE29" s="14">
        <f>'Segment Data'!BF25+'Segment Data'!BG25+'Segment Data'!BH25+'Segment Data'!BK25</f>
        <v>-29</v>
      </c>
      <c r="BF29" s="14">
        <f>'Segment Data'!BG25+'Segment Data'!BH25+'Segment Data'!BK25+'Segment Data'!BL25</f>
        <v>-22</v>
      </c>
      <c r="BG29" s="14">
        <f>'Segment Data'!BH25+'Segment Data'!BK25+'Segment Data'!BL25+'Segment Data'!BM25</f>
        <v>-15</v>
      </c>
      <c r="BH29" s="14">
        <f>'Segment Data'!BO25</f>
        <v>-11</v>
      </c>
      <c r="BI29" s="55"/>
      <c r="BK29" s="14">
        <f>+'Segment Data'!BQ25+'Segment Data'!BN25+'Segment Data'!BM25+'Segment Data'!BL25</f>
        <v>-13</v>
      </c>
      <c r="BL29" s="14">
        <f>'Segment Data'!BM25+'Segment Data'!BN25+'Segment Data'!BQ25+'Segment Data'!BR25</f>
        <v>-9</v>
      </c>
      <c r="BM29" s="14">
        <f>'Segment Data'!BN25+'Segment Data'!BQ25+'Segment Data'!BR25+'Segment Data'!BS25</f>
        <v>-4</v>
      </c>
      <c r="BN29" s="14">
        <f>'Segment Data'!BU25</f>
        <v>1</v>
      </c>
      <c r="BO29" s="55"/>
      <c r="BQ29" s="14">
        <f>+'Segment Data'!BW25+'Segment Data'!BT25+'Segment Data'!BS25+'Segment Data'!BR25</f>
        <v>8</v>
      </c>
      <c r="BR29" s="14">
        <f>'Segment Data'!BS25+'Segment Data'!BT25+'Segment Data'!BW25+'Segment Data'!BX25</f>
        <v>5</v>
      </c>
      <c r="BS29" s="14"/>
      <c r="BT29" s="14"/>
      <c r="BU29" s="55"/>
    </row>
    <row r="30" spans="1:73" s="12" customFormat="1" ht="13.5" thickBot="1">
      <c r="A30" s="12" t="s">
        <v>169</v>
      </c>
      <c r="B30" s="6"/>
      <c r="F30" s="34">
        <f>SUM(F28:F29)</f>
        <v>225</v>
      </c>
      <c r="H30" s="3"/>
      <c r="I30" s="34">
        <f>SUM(I28:I29)</f>
        <v>194</v>
      </c>
      <c r="J30" s="34">
        <f>SUM(J28:J29)</f>
        <v>175</v>
      </c>
      <c r="K30" s="34">
        <f>SUM(K28:K29)</f>
        <v>178</v>
      </c>
      <c r="L30" s="34">
        <f>SUM(L28:L29)</f>
        <v>164</v>
      </c>
      <c r="O30" s="34">
        <f>SUM(O28:O29)</f>
        <v>218</v>
      </c>
      <c r="P30" s="34">
        <f>SUM(P28:P29)</f>
        <v>244</v>
      </c>
      <c r="Q30" s="34">
        <f>SUM(Q28:Q29)</f>
        <v>296</v>
      </c>
      <c r="R30" s="34">
        <f>SUM(R28:R29)</f>
        <v>360</v>
      </c>
      <c r="U30" s="34">
        <f>SUM(U28:U29)</f>
        <v>371</v>
      </c>
      <c r="V30" s="34">
        <f>SUM(V28:V29)</f>
        <v>512</v>
      </c>
      <c r="W30" s="34">
        <f>SUM(W28:W29)</f>
        <v>513</v>
      </c>
      <c r="X30" s="34">
        <f>SUM(X28:X29)</f>
        <v>513</v>
      </c>
      <c r="Y30" s="47"/>
      <c r="AA30" s="34">
        <f>SUM(AA28:AA29)</f>
        <v>528</v>
      </c>
      <c r="AB30" s="34">
        <f>SUM(AB28:AB29)</f>
        <v>563</v>
      </c>
      <c r="AC30" s="34">
        <f>SUM(AC28:AC29)</f>
        <v>634</v>
      </c>
      <c r="AD30" s="34">
        <f>SUM(AD28:AD29)</f>
        <v>709</v>
      </c>
      <c r="AE30" s="47"/>
      <c r="AF30" s="19"/>
      <c r="AG30" s="34">
        <f>SUM(AG28:AG29)</f>
        <v>760</v>
      </c>
      <c r="AH30" s="34">
        <f>SUM(AH28:AH29)</f>
        <v>829</v>
      </c>
      <c r="AI30" s="34">
        <f>SUM(AI28:AI29)</f>
        <v>890</v>
      </c>
      <c r="AJ30" s="34">
        <f>SUM(AJ28:AJ29)</f>
        <v>914</v>
      </c>
      <c r="AK30" s="47"/>
      <c r="AL30" s="19"/>
      <c r="AM30" s="34">
        <f>SUM(AM28:AM29)</f>
        <v>1094</v>
      </c>
      <c r="AN30" s="34">
        <f>SUM(AN28:AN29)</f>
        <v>1186</v>
      </c>
      <c r="AO30" s="34">
        <f>SUM(AO28:AO29)</f>
        <v>1234</v>
      </c>
      <c r="AP30" s="34">
        <f>SUM(AP28:AP29)</f>
        <v>1363</v>
      </c>
      <c r="AQ30" s="47"/>
      <c r="AR30" s="19"/>
      <c r="AS30" s="66">
        <f>SUM(AS28:AS29)</f>
        <v>1412</v>
      </c>
      <c r="AT30" s="66">
        <f>SUM(AT28:AT29)</f>
        <v>1476</v>
      </c>
      <c r="AU30" s="66">
        <f>SUM(AU28:AU29)</f>
        <v>1503</v>
      </c>
      <c r="AV30" s="66">
        <f>SUM(AV28:AV29)</f>
        <v>1300</v>
      </c>
      <c r="AW30" s="16"/>
      <c r="AX30" s="19"/>
      <c r="AY30" s="66">
        <f>SUM(AY28:AY29)</f>
        <v>1142</v>
      </c>
      <c r="AZ30" s="66">
        <f>SUM(AZ28:AZ29)</f>
        <v>975</v>
      </c>
      <c r="BA30" s="66">
        <f>SUM(BA28:BA29)</f>
        <v>878</v>
      </c>
      <c r="BB30" s="66">
        <f>SUM(BB28:BB29)</f>
        <v>935</v>
      </c>
      <c r="BC30" s="16"/>
      <c r="BE30" s="66">
        <f>SUM(BE28:BE29)</f>
        <v>1023</v>
      </c>
      <c r="BF30" s="66">
        <f>SUM(BF28:BF29)</f>
        <v>1011</v>
      </c>
      <c r="BG30" s="66">
        <f>SUM(BG28:BG29)</f>
        <v>1025</v>
      </c>
      <c r="BH30" s="66">
        <f>SUM(BH28:BH29)</f>
        <v>985</v>
      </c>
      <c r="BI30" s="16"/>
      <c r="BK30" s="66">
        <f>SUM(BK28:BK29)</f>
        <v>971</v>
      </c>
      <c r="BL30" s="66">
        <f>SUM(BL28:BL29)</f>
        <v>908</v>
      </c>
      <c r="BM30" s="66">
        <f>SUM(BM28:BM29)</f>
        <v>947</v>
      </c>
      <c r="BN30" s="66">
        <f>SUM(BN28:BN29)</f>
        <v>1036</v>
      </c>
      <c r="BO30" s="16"/>
      <c r="BQ30" s="66">
        <f>SUM(BQ28:BQ29)</f>
        <v>1044</v>
      </c>
      <c r="BR30" s="66">
        <f>SUM(BR28:BR29)</f>
        <v>1065</v>
      </c>
      <c r="BS30" s="66">
        <f>SUM(BS28:BS29)</f>
        <v>0</v>
      </c>
      <c r="BT30" s="66">
        <f>SUM(BT28:BT29)</f>
        <v>0</v>
      </c>
      <c r="BU30" s="16"/>
    </row>
    <row r="31" spans="1:73" ht="13.5" thickTop="1">
      <c r="V31" s="45"/>
      <c r="W31" s="45"/>
      <c r="X31" s="45"/>
      <c r="Y31" s="25"/>
      <c r="AB31" s="45"/>
      <c r="AC31" s="45"/>
      <c r="AD31" s="45"/>
      <c r="AE31" s="25"/>
      <c r="AH31" s="45"/>
      <c r="AI31" s="45"/>
      <c r="AJ31" s="45"/>
      <c r="AK31" s="25"/>
      <c r="AN31" s="45"/>
      <c r="AO31" s="45"/>
      <c r="AP31" s="45"/>
      <c r="AQ31" s="25"/>
      <c r="AS31" s="10"/>
      <c r="AT31" s="68"/>
      <c r="AU31" s="68"/>
      <c r="AV31" s="68"/>
      <c r="AW31" s="64"/>
      <c r="AY31" s="10"/>
      <c r="AZ31" s="68"/>
      <c r="BA31" s="68"/>
      <c r="BB31" s="68"/>
      <c r="BC31" s="64"/>
      <c r="BE31" s="10"/>
      <c r="BF31" s="68"/>
      <c r="BG31" s="68"/>
      <c r="BH31" s="68"/>
      <c r="BI31" s="64"/>
      <c r="BK31" s="10"/>
      <c r="BL31" s="68"/>
      <c r="BM31" s="68"/>
      <c r="BN31" s="68"/>
      <c r="BO31" s="64"/>
      <c r="BQ31" s="10"/>
      <c r="BR31" s="68"/>
      <c r="BS31" s="68"/>
      <c r="BT31" s="68"/>
      <c r="BU31" s="64"/>
    </row>
    <row r="32" spans="1:73">
      <c r="Y32" s="25"/>
      <c r="AE32" s="25"/>
      <c r="AK32" s="25"/>
      <c r="AQ32" s="25"/>
      <c r="AS32" s="10"/>
      <c r="AT32" s="10"/>
      <c r="AU32" s="10"/>
      <c r="AV32" s="10"/>
      <c r="AW32" s="64"/>
      <c r="AY32" s="10"/>
      <c r="AZ32" s="10"/>
      <c r="BA32" s="10"/>
      <c r="BB32" s="10"/>
      <c r="BC32" s="64"/>
      <c r="BE32" s="10"/>
      <c r="BF32" s="10"/>
      <c r="BG32" s="10"/>
      <c r="BH32" s="10"/>
      <c r="BI32" s="64"/>
      <c r="BK32" s="10"/>
      <c r="BL32" s="10"/>
      <c r="BM32" s="10"/>
      <c r="BN32" s="10"/>
      <c r="BO32" s="64"/>
      <c r="BQ32" s="10"/>
      <c r="BR32" s="10"/>
      <c r="BS32" s="10"/>
      <c r="BT32" s="10"/>
      <c r="BU32" s="64"/>
    </row>
    <row r="33" spans="1:73">
      <c r="A33" s="11" t="s">
        <v>65</v>
      </c>
      <c r="Y33" s="25"/>
      <c r="AE33" s="25"/>
      <c r="AK33" s="25"/>
      <c r="AQ33" s="25"/>
      <c r="AS33" s="10"/>
      <c r="AT33" s="10"/>
      <c r="AU33" s="10"/>
      <c r="AV33" s="10"/>
      <c r="AW33" s="64"/>
      <c r="AY33" s="10"/>
      <c r="AZ33" s="10"/>
      <c r="BA33" s="10"/>
      <c r="BB33" s="10"/>
      <c r="BC33" s="64"/>
      <c r="BE33" s="10"/>
      <c r="BF33" s="10"/>
      <c r="BG33" s="10"/>
      <c r="BH33" s="10"/>
      <c r="BI33" s="64"/>
      <c r="BK33" s="10"/>
      <c r="BL33" s="10"/>
      <c r="BM33" s="10"/>
      <c r="BN33" s="10"/>
      <c r="BO33" s="64"/>
      <c r="BQ33" s="10"/>
      <c r="BR33" s="10"/>
      <c r="BS33" s="10"/>
      <c r="BT33" s="10"/>
      <c r="BU33" s="64"/>
    </row>
    <row r="34" spans="1:73">
      <c r="A34" s="4" t="s">
        <v>172</v>
      </c>
      <c r="F34" s="42">
        <f>F17/F30</f>
        <v>12.045177777777777</v>
      </c>
      <c r="I34" s="42">
        <f>I17/I30</f>
        <v>12.977293814432988</v>
      </c>
      <c r="J34" s="42">
        <f>J17/J30</f>
        <v>13.151914285714286</v>
      </c>
      <c r="K34" s="42">
        <f>K17/K30</f>
        <v>8.2222303370786509</v>
      </c>
      <c r="L34" s="42">
        <f>L17/L30</f>
        <v>9.3967926829268293</v>
      </c>
      <c r="O34" s="42">
        <f>O17/O30</f>
        <v>7.6608990825688075</v>
      </c>
      <c r="P34" s="42">
        <f>P17/P30</f>
        <v>8.9225000000000012</v>
      </c>
      <c r="Q34" s="42">
        <f>Q17/Q30</f>
        <v>8.43616891891892</v>
      </c>
      <c r="R34" s="42">
        <f>R17/R30</f>
        <v>6.5641888888888893</v>
      </c>
      <c r="U34" s="42">
        <f>U17/U30</f>
        <v>7.6064690026954178</v>
      </c>
      <c r="V34" s="42">
        <f>V17/V30</f>
        <v>8.0947265625</v>
      </c>
      <c r="W34" s="42">
        <f>W17/W30</f>
        <v>8.0730994152046787</v>
      </c>
      <c r="X34" s="42">
        <f>X17/X30</f>
        <v>8.5175438596491233</v>
      </c>
      <c r="Y34" s="51"/>
      <c r="AA34" s="42">
        <f>AA17/AA30</f>
        <v>9.9356060606060606</v>
      </c>
      <c r="AB34" s="42">
        <f>AB17/AB30</f>
        <v>11.063055062166963</v>
      </c>
      <c r="AC34" s="42">
        <f>AC17/AC30</f>
        <v>11.12064668769716</v>
      </c>
      <c r="AD34" s="42">
        <f>AD17/AD30</f>
        <v>10.735056417489421</v>
      </c>
      <c r="AE34" s="51"/>
      <c r="AG34" s="42">
        <f>AG17/AG30</f>
        <v>13.606125</v>
      </c>
      <c r="AH34" s="42">
        <f>AH17/AH30</f>
        <v>11.899218335343788</v>
      </c>
      <c r="AI34" s="42">
        <f>AI17/AI30</f>
        <v>12.960139325842697</v>
      </c>
      <c r="AJ34" s="42">
        <f>AJ17/AJ30</f>
        <v>14.029831509846828</v>
      </c>
      <c r="AK34" s="51"/>
      <c r="AM34" s="42">
        <f>AM17/AM30</f>
        <v>11.426010968921389</v>
      </c>
      <c r="AN34" s="42">
        <f>AN17/AN30</f>
        <v>12.862091062394605</v>
      </c>
      <c r="AO34" s="42">
        <f>AO17/AO30</f>
        <v>13.080356564019448</v>
      </c>
      <c r="AP34" s="42">
        <f>AP17/AP30</f>
        <v>9.4248275862068969</v>
      </c>
      <c r="AQ34" s="51"/>
      <c r="AS34" s="69">
        <f>AS17/AS30</f>
        <v>7.2734985835694053</v>
      </c>
      <c r="AT34" s="69">
        <f>AT17/AT30</f>
        <v>8.0766395663956647</v>
      </c>
      <c r="AU34" s="69">
        <f>AU17/AU30</f>
        <v>5.7610113107119094</v>
      </c>
      <c r="AV34" s="69">
        <f>AV17/AV30</f>
        <v>3.6952615384615384</v>
      </c>
      <c r="AW34" s="70"/>
      <c r="AY34" s="69">
        <f>AY17/AY30</f>
        <v>4.0353590192644484</v>
      </c>
      <c r="AZ34" s="69">
        <f>AZ17/AZ30</f>
        <v>7.0229230769230764</v>
      </c>
      <c r="BA34" s="69">
        <f>BA17/BA30</f>
        <v>11.096902050113895</v>
      </c>
      <c r="BB34" s="69">
        <f>BB17/BB30</f>
        <v>10.294374331550802</v>
      </c>
      <c r="BC34" s="70"/>
      <c r="BE34" s="69">
        <f>BE17/BE30</f>
        <v>10.388484848484849</v>
      </c>
      <c r="BF34" s="69">
        <f>BF17/BF30</f>
        <v>10.184089020771513</v>
      </c>
      <c r="BG34" s="69">
        <f>BG17/BG30</f>
        <v>10.282409756097563</v>
      </c>
      <c r="BH34" s="69">
        <f>BH17/BH30</f>
        <v>11.308951269035532</v>
      </c>
      <c r="BI34" s="70"/>
      <c r="BK34" s="69">
        <f>BK17/BK30</f>
        <v>12.499599573635427</v>
      </c>
      <c r="BL34" s="69">
        <f>BL17/BL30</f>
        <v>14.020178707048457</v>
      </c>
      <c r="BM34" s="69">
        <f>BM17/BM30</f>
        <v>10.091269174234423</v>
      </c>
      <c r="BN34" s="69">
        <f>BN17/BN30</f>
        <v>8.6439824459459462</v>
      </c>
      <c r="BO34" s="70"/>
      <c r="BQ34" s="69">
        <f>BQ17/BQ30</f>
        <v>10.100465565134101</v>
      </c>
      <c r="BR34" s="69">
        <f>BR17/BR30</f>
        <v>6.7813051643192486</v>
      </c>
      <c r="BS34" s="69"/>
      <c r="BT34" s="69"/>
      <c r="BU34" s="70"/>
    </row>
    <row r="35" spans="1:73">
      <c r="A35" s="4" t="s">
        <v>173</v>
      </c>
      <c r="F35" s="42">
        <f>F17/F28</f>
        <v>9.0338833333333337</v>
      </c>
      <c r="I35" s="42">
        <f>I17/I28</f>
        <v>8.7114013840830449</v>
      </c>
      <c r="J35" s="42">
        <f>J17/J28</f>
        <v>7.8821404109589039</v>
      </c>
      <c r="K35" s="42">
        <f>K17/K28</f>
        <v>4.7518084415584418</v>
      </c>
      <c r="L35" s="42">
        <f>L17/L28</f>
        <v>4.90787898089172</v>
      </c>
      <c r="O35" s="42">
        <f>O17/O28</f>
        <v>4.6650167597765364</v>
      </c>
      <c r="P35" s="42">
        <f>P17/P28</f>
        <v>5.9483333333333341</v>
      </c>
      <c r="Q35" s="42">
        <f>Q17/Q28</f>
        <v>6.0609368932038841</v>
      </c>
      <c r="R35" s="42">
        <f>R17/R28</f>
        <v>5.3103550561797759</v>
      </c>
      <c r="U35" s="42">
        <f>U17/U28</f>
        <v>6.2572062084257203</v>
      </c>
      <c r="V35" s="42">
        <f>V17/V28</f>
        <v>7.0126903553299496</v>
      </c>
      <c r="W35" s="42">
        <f>W17/W28</f>
        <v>7.0674061433447095</v>
      </c>
      <c r="X35" s="42">
        <f>X17/X28</f>
        <v>7.4437819420783642</v>
      </c>
      <c r="Y35" s="51"/>
      <c r="AA35" s="42">
        <f>AA17/AA28</f>
        <v>9.0137457044673539</v>
      </c>
      <c r="AB35" s="42">
        <f>AB17/AB28</f>
        <v>10.329187396351575</v>
      </c>
      <c r="AC35" s="42">
        <f>AC17/AC28</f>
        <v>10.747698170731708</v>
      </c>
      <c r="AD35" s="42">
        <f>AD17/AD28</f>
        <v>10.615278940027894</v>
      </c>
      <c r="AE35" s="51"/>
      <c r="AG35" s="42">
        <f>AG17/AG28</f>
        <v>13.377302716688229</v>
      </c>
      <c r="AH35" s="42">
        <f>AH17/AH28</f>
        <v>11.687739336492891</v>
      </c>
      <c r="AI35" s="42">
        <f>AI17/AI28</f>
        <v>12.661387486278814</v>
      </c>
      <c r="AJ35" s="42">
        <f>AJ17/AJ28</f>
        <v>13.758869098712445</v>
      </c>
      <c r="AK35" s="51"/>
      <c r="AM35" s="42">
        <f>AM17/AM28</f>
        <v>11.200767025089606</v>
      </c>
      <c r="AN35" s="42">
        <f>AN17/AN28</f>
        <v>12.669800664451827</v>
      </c>
      <c r="AO35" s="42">
        <f>AO17/AO28</f>
        <v>12.933621794871796</v>
      </c>
      <c r="AP35" s="42">
        <f>AP17/AP28</f>
        <v>9.3019840695148446</v>
      </c>
      <c r="AQ35" s="51"/>
      <c r="AS35" s="69">
        <f>AS17/AS28</f>
        <v>7.1619107391910743</v>
      </c>
      <c r="AT35" s="69">
        <f>AT17/AT28</f>
        <v>7.968663101604279</v>
      </c>
      <c r="AU35" s="69">
        <f>AU17/AU28</f>
        <v>5.6779016393442614</v>
      </c>
      <c r="AV35" s="69">
        <f>AV17/AV28</f>
        <v>3.6119097744360902</v>
      </c>
      <c r="AW35" s="70"/>
      <c r="AY35" s="69">
        <f>AY17/AY28</f>
        <v>3.9489117395029991</v>
      </c>
      <c r="AZ35" s="69">
        <f>AZ17/AZ28</f>
        <v>6.7661561264822128</v>
      </c>
      <c r="BA35" s="69">
        <f>BA17/BA28</f>
        <v>10.60182807399347</v>
      </c>
      <c r="BB35" s="69">
        <f>BB17/BB28</f>
        <v>9.9640165631469984</v>
      </c>
      <c r="BC35" s="70"/>
      <c r="BE35" s="69">
        <f>BE17/BE28</f>
        <v>10.102110266159697</v>
      </c>
      <c r="BF35" s="69">
        <f>BF17/BF28</f>
        <v>9.9671965150048401</v>
      </c>
      <c r="BG35" s="69">
        <f>BG17/BG28</f>
        <v>10.13410576923077</v>
      </c>
      <c r="BH35" s="69">
        <f>BH17/BH28</f>
        <v>11.184053212851405</v>
      </c>
      <c r="BI35" s="70"/>
      <c r="BK35" s="69">
        <f>BK17/BK28</f>
        <v>12.334462587398374</v>
      </c>
      <c r="BL35" s="69">
        <f>BL17/BL28</f>
        <v>13.882576080697927</v>
      </c>
      <c r="BM35" s="69">
        <f>BM17/BM28</f>
        <v>10.048824298633017</v>
      </c>
      <c r="BN35" s="69">
        <f>BN17/BN28</f>
        <v>8.6523341198067634</v>
      </c>
      <c r="BO35" s="70"/>
      <c r="BQ35" s="69">
        <f>BQ17/BQ28</f>
        <v>10.178461438223939</v>
      </c>
      <c r="BR35" s="69">
        <f>BR17/BR28</f>
        <v>6.813292452830189</v>
      </c>
      <c r="BS35" s="69"/>
      <c r="BT35" s="69"/>
      <c r="BU35" s="70"/>
    </row>
    <row r="36" spans="1:73">
      <c r="AS36" s="10"/>
      <c r="AT36" s="10"/>
      <c r="AU36" s="10"/>
      <c r="AV36" s="10"/>
      <c r="AW36" s="6"/>
      <c r="AY36" s="10"/>
      <c r="AZ36" s="10"/>
      <c r="BA36" s="10"/>
      <c r="BB36" s="10"/>
      <c r="BC36" s="6"/>
      <c r="BE36" s="10"/>
      <c r="BF36" s="10"/>
      <c r="BG36" s="10"/>
      <c r="BH36" s="10"/>
      <c r="BI36" s="6"/>
      <c r="BK36" s="10"/>
      <c r="BL36" s="10"/>
      <c r="BM36" s="10"/>
      <c r="BN36" s="10"/>
      <c r="BO36" s="6"/>
      <c r="BQ36" s="10"/>
      <c r="BR36" s="10"/>
      <c r="BS36" s="10"/>
      <c r="BT36" s="10"/>
      <c r="BU36" s="6"/>
    </row>
    <row r="37" spans="1:73">
      <c r="A37" s="11" t="s">
        <v>85</v>
      </c>
      <c r="AS37" s="10"/>
      <c r="AT37" s="10"/>
      <c r="AU37" s="10"/>
      <c r="AV37" s="10"/>
      <c r="AW37" s="6"/>
      <c r="AY37" s="10"/>
      <c r="AZ37" s="10"/>
      <c r="BA37" s="10"/>
      <c r="BB37" s="10"/>
      <c r="BC37" s="6"/>
      <c r="BE37" s="10"/>
      <c r="BF37" s="10"/>
      <c r="BG37" s="10"/>
      <c r="BH37" s="10"/>
      <c r="BI37" s="6"/>
      <c r="BK37" s="10"/>
      <c r="BL37" s="10"/>
      <c r="BM37" s="10"/>
      <c r="BN37" s="10"/>
      <c r="BO37" s="6"/>
      <c r="BQ37" s="10"/>
      <c r="BR37" s="10"/>
      <c r="BS37" s="10"/>
      <c r="BT37" s="10"/>
      <c r="BU37" s="6"/>
    </row>
    <row r="38" spans="1:73">
      <c r="A38" s="4" t="s">
        <v>167</v>
      </c>
      <c r="AM38" s="42">
        <f>AM16/AM26</f>
        <v>1.8162705667276051</v>
      </c>
      <c r="AN38" s="42">
        <f>AN16/AN26</f>
        <v>1.93929173693086</v>
      </c>
      <c r="AO38" s="42">
        <f>AO16/AO26</f>
        <v>1.8687196110210698</v>
      </c>
      <c r="AP38" s="42">
        <f>AP16/AP26</f>
        <v>1.4636830520909758</v>
      </c>
      <c r="AS38" s="69">
        <f>AS16/AS26</f>
        <v>1.5686968838526911</v>
      </c>
      <c r="AT38" s="69">
        <f>AT16/AT26</f>
        <v>1.9139566395663956</v>
      </c>
      <c r="AU38" s="69">
        <f>AU16/AU26</f>
        <v>1.8769128409846974</v>
      </c>
      <c r="AV38" s="69">
        <f>AV16/AV26</f>
        <v>1.7384615384615385</v>
      </c>
      <c r="AW38" s="6"/>
      <c r="AY38" s="69">
        <f>AY16/AY26</f>
        <v>1.9993870402802103</v>
      </c>
      <c r="AZ38" s="69">
        <f>AZ16/AZ26</f>
        <v>2.6536410256410257</v>
      </c>
      <c r="BA38" s="69">
        <f>BA16/BA26</f>
        <v>3.0535307517084282</v>
      </c>
      <c r="BB38" s="69">
        <f>BB16/BB26</f>
        <v>2.9144385026737969</v>
      </c>
      <c r="BC38" s="6"/>
      <c r="BE38" s="69">
        <f>BE16/BE26</f>
        <v>3.3176930596285437</v>
      </c>
      <c r="BF38" s="69">
        <f>BF16/BF26</f>
        <v>3.7487636003956477</v>
      </c>
      <c r="BG38" s="69">
        <f>BG16/BG26</f>
        <v>4.0429268292682927</v>
      </c>
      <c r="BH38" s="69">
        <f>BH16/BH26</f>
        <v>4.1675126903553297</v>
      </c>
      <c r="BI38" s="6"/>
      <c r="BK38" s="69">
        <f>BK16/BK26</f>
        <v>4.9649845520082385</v>
      </c>
      <c r="BL38" s="69">
        <f>BL16/BL26</f>
        <v>5.4405286343612334</v>
      </c>
      <c r="BM38" s="69">
        <f>BM16/BM26</f>
        <v>5.0380147835269273</v>
      </c>
      <c r="BN38" s="69">
        <f>BN16/BN26</f>
        <v>4.2750965250965249</v>
      </c>
      <c r="BO38" s="6"/>
      <c r="BQ38" s="69">
        <f>BQ16/BQ26</f>
        <v>4.3017241379310347</v>
      </c>
      <c r="BR38" s="69">
        <f>BR16/BR26</f>
        <v>2.5276995305164318</v>
      </c>
      <c r="BS38" s="69"/>
      <c r="BT38" s="69"/>
      <c r="BU38" s="6"/>
    </row>
    <row r="39" spans="1:73">
      <c r="AS39" s="10"/>
      <c r="AT39" s="10"/>
      <c r="AU39" s="10"/>
      <c r="AV39" s="10"/>
      <c r="AW39" s="6"/>
      <c r="AY39" s="10"/>
      <c r="AZ39" s="10"/>
      <c r="BA39" s="10"/>
      <c r="BB39" s="10"/>
      <c r="BC39" s="6"/>
      <c r="BE39" s="10"/>
      <c r="BF39" s="10"/>
      <c r="BG39" s="10"/>
      <c r="BH39" s="10"/>
      <c r="BI39" s="6"/>
    </row>
    <row r="40" spans="1:73">
      <c r="AS40" s="10"/>
      <c r="AT40" s="10"/>
      <c r="AU40" s="10"/>
      <c r="AV40" s="10"/>
      <c r="AW40" s="6"/>
      <c r="AY40" s="10"/>
      <c r="AZ40" s="10"/>
      <c r="BA40" s="10"/>
      <c r="BB40" s="10"/>
      <c r="BC40" s="6"/>
      <c r="BE40" s="10"/>
      <c r="BF40" s="10"/>
      <c r="BG40" s="10"/>
      <c r="BH40" s="10"/>
      <c r="BI40" s="6"/>
    </row>
    <row r="42" spans="1:73">
      <c r="AS42" s="79"/>
    </row>
    <row r="43" spans="1:73">
      <c r="AS43" s="79"/>
    </row>
    <row r="45" spans="1:73">
      <c r="AS45" s="81"/>
    </row>
    <row r="46" spans="1:73">
      <c r="AS46" s="81"/>
    </row>
  </sheetData>
  <mergeCells count="24">
    <mergeCell ref="AS1:AW1"/>
    <mergeCell ref="AG1:AK1"/>
    <mergeCell ref="C2:G2"/>
    <mergeCell ref="I2:M2"/>
    <mergeCell ref="O2:S2"/>
    <mergeCell ref="I1:M1"/>
    <mergeCell ref="AG2:AK2"/>
    <mergeCell ref="AM1:AQ1"/>
    <mergeCell ref="AM2:AQ2"/>
    <mergeCell ref="AS2:AW2"/>
    <mergeCell ref="O1:S1"/>
    <mergeCell ref="U1:Y1"/>
    <mergeCell ref="AA1:AE1"/>
    <mergeCell ref="AA2:AE2"/>
    <mergeCell ref="C1:G1"/>
    <mergeCell ref="U2:Y2"/>
    <mergeCell ref="BK1:BO1"/>
    <mergeCell ref="BK2:BO2"/>
    <mergeCell ref="AY1:BC1"/>
    <mergeCell ref="AY2:BC2"/>
    <mergeCell ref="BQ1:BU1"/>
    <mergeCell ref="BQ2:BU2"/>
    <mergeCell ref="BE1:BI1"/>
    <mergeCell ref="BE2:BI2"/>
  </mergeCells>
  <phoneticPr fontId="0" type="noConversion"/>
  <pageMargins left="0.23622047244094491" right="0.23622047244094491" top="0.43307086614173229" bottom="0.31496062992125984" header="0.31496062992125984" footer="0.27559055118110237"/>
  <pageSetup paperSize="9" scale="7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2:BC16"/>
  <sheetViews>
    <sheetView zoomScale="90" zoomScaleNormal="90" workbookViewId="0">
      <pane xSplit="1" topLeftCell="AO1" activePane="topRight" state="frozen"/>
      <selection activeCell="BA5" sqref="BA5"/>
      <selection pane="topRight" activeCell="BL25" sqref="BL25"/>
    </sheetView>
  </sheetViews>
  <sheetFormatPr defaultRowHeight="12.75"/>
  <cols>
    <col min="1" max="1" width="39" customWidth="1"/>
    <col min="11" max="11" width="8.7109375" customWidth="1"/>
    <col min="16" max="16" width="8.7109375" customWidth="1"/>
    <col min="21" max="21" width="8.7109375" customWidth="1"/>
    <col min="26" max="26" width="8.7109375" customWidth="1"/>
    <col min="31" max="31" width="8.7109375" customWidth="1"/>
    <col min="32" max="32" width="12.28515625" bestFit="1" customWidth="1"/>
    <col min="36" max="36" width="8.7109375" customWidth="1"/>
    <col min="37" max="37" width="9" customWidth="1"/>
    <col min="41" max="41" width="8.7109375" customWidth="1"/>
    <col min="46" max="46" width="8.7109375" customWidth="1"/>
  </cols>
  <sheetData>
    <row r="2" spans="1:55">
      <c r="Q2" t="s">
        <v>132</v>
      </c>
    </row>
    <row r="3" spans="1:55">
      <c r="B3" s="71" t="s">
        <v>88</v>
      </c>
      <c r="C3" s="71" t="s">
        <v>89</v>
      </c>
      <c r="D3" s="71" t="s">
        <v>90</v>
      </c>
      <c r="E3" s="71" t="s">
        <v>91</v>
      </c>
      <c r="F3" s="8"/>
      <c r="G3" s="71" t="s">
        <v>92</v>
      </c>
      <c r="H3" s="71" t="s">
        <v>93</v>
      </c>
      <c r="I3" s="71" t="s">
        <v>94</v>
      </c>
      <c r="J3" s="71" t="s">
        <v>95</v>
      </c>
      <c r="K3" s="8"/>
      <c r="L3" s="71" t="s">
        <v>96</v>
      </c>
      <c r="M3" s="71" t="s">
        <v>97</v>
      </c>
      <c r="N3" s="71" t="s">
        <v>98</v>
      </c>
      <c r="O3" s="71" t="s">
        <v>99</v>
      </c>
      <c r="P3" s="8"/>
      <c r="Q3" s="71" t="s">
        <v>100</v>
      </c>
      <c r="R3" s="71" t="s">
        <v>103</v>
      </c>
      <c r="S3" s="71" t="s">
        <v>104</v>
      </c>
      <c r="T3" s="71" t="s">
        <v>106</v>
      </c>
      <c r="U3" s="8"/>
      <c r="V3" s="71" t="s">
        <v>107</v>
      </c>
      <c r="W3" s="71" t="s">
        <v>101</v>
      </c>
      <c r="X3" s="71" t="s">
        <v>108</v>
      </c>
      <c r="Y3" s="71" t="s">
        <v>105</v>
      </c>
      <c r="Z3" s="8"/>
      <c r="AA3" s="71" t="s">
        <v>109</v>
      </c>
      <c r="AB3" s="71" t="s">
        <v>110</v>
      </c>
      <c r="AC3" s="71" t="s">
        <v>102</v>
      </c>
      <c r="AD3" s="71" t="s">
        <v>118</v>
      </c>
      <c r="AE3" s="8"/>
      <c r="AF3" s="71" t="s">
        <v>120</v>
      </c>
      <c r="AG3" s="71" t="s">
        <v>122</v>
      </c>
      <c r="AH3" s="71" t="s">
        <v>124</v>
      </c>
      <c r="AI3" s="71" t="s">
        <v>127</v>
      </c>
      <c r="AJ3" s="8"/>
      <c r="AK3" s="71" t="s">
        <v>163</v>
      </c>
      <c r="AL3" s="71" t="s">
        <v>164</v>
      </c>
      <c r="AM3" s="71" t="s">
        <v>165</v>
      </c>
      <c r="AN3" s="71" t="s">
        <v>170</v>
      </c>
      <c r="AO3" s="8"/>
      <c r="AP3" s="71" t="s">
        <v>175</v>
      </c>
      <c r="AQ3" s="71" t="s">
        <v>176</v>
      </c>
      <c r="AR3" s="71" t="s">
        <v>177</v>
      </c>
      <c r="AS3" s="71" t="s">
        <v>179</v>
      </c>
      <c r="AT3" s="8"/>
      <c r="AU3" s="71" t="s">
        <v>180</v>
      </c>
      <c r="AV3" s="71" t="s">
        <v>182</v>
      </c>
      <c r="AW3" s="71" t="s">
        <v>186</v>
      </c>
      <c r="AX3" s="71" t="s">
        <v>187</v>
      </c>
      <c r="AY3" s="8"/>
      <c r="AZ3" s="71" t="s">
        <v>192</v>
      </c>
      <c r="BA3" s="71" t="s">
        <v>193</v>
      </c>
      <c r="BB3" s="71" t="s">
        <v>194</v>
      </c>
      <c r="BC3" s="71" t="s">
        <v>195</v>
      </c>
    </row>
    <row r="4" spans="1:55">
      <c r="A4" s="103" t="s">
        <v>196</v>
      </c>
      <c r="B4" s="72"/>
      <c r="C4" s="72"/>
      <c r="D4" s="72"/>
      <c r="E4" s="72"/>
      <c r="G4" s="72"/>
      <c r="H4" s="72"/>
      <c r="I4" s="72"/>
      <c r="J4" s="72"/>
      <c r="L4" s="72"/>
      <c r="M4" s="72"/>
      <c r="N4" s="72"/>
      <c r="O4" s="72"/>
      <c r="Q4" s="72"/>
      <c r="R4" s="72"/>
      <c r="S4" s="72"/>
      <c r="T4" s="72"/>
      <c r="V4" s="72"/>
      <c r="W4" s="72"/>
      <c r="X4" s="72"/>
      <c r="Y4" s="72"/>
      <c r="AA4" s="72"/>
      <c r="AB4" s="72"/>
      <c r="AC4" s="72"/>
      <c r="AD4" s="72"/>
      <c r="AF4" s="72">
        <f>+AF10-AF11</f>
        <v>1260</v>
      </c>
      <c r="AG4" s="72">
        <f t="shared" ref="AG4:AI4" si="0">+AG10-AG11</f>
        <v>1268</v>
      </c>
      <c r="AH4" s="72">
        <f t="shared" si="0"/>
        <v>1240</v>
      </c>
      <c r="AI4" s="72">
        <f t="shared" si="0"/>
        <v>1078</v>
      </c>
      <c r="AJ4" s="104"/>
      <c r="AK4" s="72">
        <f t="shared" ref="AK4:AN4" si="1">+AK10-AK11</f>
        <v>930</v>
      </c>
      <c r="AL4" s="72">
        <f t="shared" si="1"/>
        <v>811</v>
      </c>
      <c r="AM4" s="72">
        <f t="shared" si="1"/>
        <v>751</v>
      </c>
      <c r="AN4" s="72">
        <f t="shared" si="1"/>
        <v>799</v>
      </c>
      <c r="AO4" s="104"/>
      <c r="AP4" s="72">
        <f t="shared" ref="AP4:AS4" si="2">+AP10-AP11</f>
        <v>908</v>
      </c>
      <c r="AQ4" s="72">
        <f t="shared" si="2"/>
        <v>916</v>
      </c>
      <c r="AR4" s="72">
        <f t="shared" si="2"/>
        <v>951</v>
      </c>
      <c r="AS4" s="72">
        <f t="shared" si="2"/>
        <v>895</v>
      </c>
      <c r="AU4" s="72">
        <f t="shared" ref="AU4:AX4" si="3">+AU10-AU11</f>
        <v>869</v>
      </c>
      <c r="AV4" s="72">
        <f t="shared" si="3"/>
        <v>808</v>
      </c>
      <c r="AW4" s="72">
        <f t="shared" si="3"/>
        <v>775</v>
      </c>
      <c r="AX4" s="72">
        <f t="shared" si="3"/>
        <v>878</v>
      </c>
      <c r="AZ4" s="72">
        <f t="shared" ref="AZ4:BA4" si="4">+AZ10-AZ11</f>
        <v>914</v>
      </c>
      <c r="BA4" s="72">
        <f t="shared" si="4"/>
        <v>956</v>
      </c>
      <c r="BB4" s="72"/>
      <c r="BC4" s="72"/>
    </row>
    <row r="5" spans="1:55">
      <c r="A5" s="103" t="s">
        <v>197</v>
      </c>
      <c r="B5" s="57"/>
      <c r="C5" s="57"/>
      <c r="D5" s="57"/>
      <c r="E5" s="57"/>
      <c r="G5" s="57"/>
      <c r="H5" s="57"/>
      <c r="I5" s="57"/>
      <c r="J5" s="57"/>
      <c r="L5" s="57"/>
      <c r="M5" s="57"/>
      <c r="N5" s="57"/>
      <c r="O5" s="57"/>
      <c r="Q5" s="57"/>
      <c r="R5" s="57"/>
      <c r="S5" s="57"/>
      <c r="T5" s="57"/>
      <c r="V5" s="57"/>
      <c r="W5" s="57"/>
      <c r="X5" s="57"/>
      <c r="Y5" s="57"/>
      <c r="AA5" s="57"/>
      <c r="AB5" s="57"/>
      <c r="AC5" s="57"/>
      <c r="AD5" s="57"/>
      <c r="AF5" s="57">
        <f>+AF4/AF12</f>
        <v>9.1563113145846961E-2</v>
      </c>
      <c r="AG5" s="57">
        <f>+AG4/AG12</f>
        <v>9.0974314822786631E-2</v>
      </c>
      <c r="AH5" s="57">
        <f>+AH4/AH12</f>
        <v>8.7880935506732816E-2</v>
      </c>
      <c r="AI5" s="57">
        <f>+AI4/AI12</f>
        <v>7.7957766849869825E-2</v>
      </c>
      <c r="AK5" s="57">
        <f>+AK4/AK12</f>
        <v>7.1008627930060325E-2</v>
      </c>
      <c r="AL5" s="57">
        <f>+AL4/AL12</f>
        <v>6.5130099582396406E-2</v>
      </c>
      <c r="AM5" s="57">
        <f>+AM4/AM12</f>
        <v>6.3082738345233091E-2</v>
      </c>
      <c r="AN5" s="57">
        <f>+AN4/AN12</f>
        <v>6.8366561136305293E-2</v>
      </c>
      <c r="AP5" s="57">
        <f>+AP4/AP12</f>
        <v>7.4954597985801549E-2</v>
      </c>
      <c r="AQ5" s="57">
        <f>+AQ4/AQ12</f>
        <v>7.2669575565251887E-2</v>
      </c>
      <c r="AR5" s="57">
        <f>+AR4/AR12</f>
        <v>7.124129148250806E-2</v>
      </c>
      <c r="AS5" s="57">
        <f>+AS4/AS12</f>
        <v>6.1933430212442048E-2</v>
      </c>
      <c r="AU5" s="57">
        <f>+AU4/AU12</f>
        <v>5.7306779213927725E-2</v>
      </c>
      <c r="AV5" s="57">
        <f>+AV4/AV12</f>
        <v>5.198147195059187E-2</v>
      </c>
      <c r="AW5" s="57">
        <f>+AW4/AW12</f>
        <v>4.9265780942088867E-2</v>
      </c>
      <c r="AX5" s="57">
        <f>+AX4/AX12</f>
        <v>5.6267623686234301E-2</v>
      </c>
      <c r="AZ5" s="57">
        <f>+AZ4/AZ12</f>
        <v>5.9501334548531994E-2</v>
      </c>
      <c r="BA5" s="57">
        <f>+BA4/BA12</f>
        <v>6.2692635582661152E-2</v>
      </c>
      <c r="BB5" s="91"/>
      <c r="BC5" s="91"/>
    </row>
    <row r="6" spans="1:55">
      <c r="A6" s="103" t="s">
        <v>198</v>
      </c>
      <c r="T6" s="57"/>
      <c r="V6" s="57"/>
      <c r="W6" s="57"/>
      <c r="X6" s="57"/>
      <c r="Y6" s="57"/>
      <c r="AA6" s="57"/>
      <c r="AB6" s="57"/>
      <c r="AC6" s="57"/>
      <c r="AD6" s="57"/>
      <c r="AF6" s="57">
        <f>+AF4/AF13</f>
        <v>0.11498448622011316</v>
      </c>
      <c r="AG6" s="57">
        <f>+AG4/AG13</f>
        <v>0.1135183527305282</v>
      </c>
      <c r="AH6" s="57">
        <f>+AH4/AH13</f>
        <v>0.10910690717113947</v>
      </c>
      <c r="AI6" s="57">
        <f>+AI4/AI13</f>
        <v>9.5626718708418351E-2</v>
      </c>
      <c r="AK6" s="57">
        <f>+AK4/AK13</f>
        <v>8.5188238527067875E-2</v>
      </c>
      <c r="AL6" s="57">
        <f>+AL4/AL13</f>
        <v>7.7039992400493973E-2</v>
      </c>
      <c r="AM6" s="57">
        <f>+AM4/AM13</f>
        <v>7.3801100628930819E-2</v>
      </c>
      <c r="AN6" s="57">
        <f>+AN4/AN13</f>
        <v>8.0301507537688444E-2</v>
      </c>
      <c r="AP6" s="57">
        <f>+AP4/AP13</f>
        <v>8.9892089892089896E-2</v>
      </c>
      <c r="AQ6" s="57">
        <f>+AQ4/AQ13</f>
        <v>8.8391392453922607E-2</v>
      </c>
      <c r="AR6" s="57">
        <f>+AR4/AR13</f>
        <v>8.7706354329982472E-2</v>
      </c>
      <c r="AS6" s="57">
        <f>+AS4/AS13</f>
        <v>7.7975257013416968E-2</v>
      </c>
      <c r="AU6" s="57">
        <f>+AU4/AU13</f>
        <v>7.3345712356515866E-2</v>
      </c>
      <c r="AV6" s="57">
        <f>+AV4/AV13</f>
        <v>6.7496449753571136E-2</v>
      </c>
      <c r="AW6" s="57">
        <f>+AW4/AW13</f>
        <v>6.4288676897552882E-2</v>
      </c>
      <c r="AX6" s="57">
        <f>+AX4/AX13</f>
        <v>7.2257427372232744E-2</v>
      </c>
      <c r="AZ6" s="57">
        <f>+AZ4/AZ13</f>
        <v>7.5574665123201587E-2</v>
      </c>
      <c r="BA6" s="57">
        <f>+BA4/BA13</f>
        <v>7.903439153439154E-2</v>
      </c>
      <c r="BB6" s="91"/>
      <c r="BC6" s="91"/>
    </row>
    <row r="10" spans="1:55">
      <c r="A10" t="s">
        <v>202</v>
      </c>
      <c r="B10" s="56">
        <f>Valuation!I26-Valuation!I24</f>
        <v>194</v>
      </c>
      <c r="C10" s="56">
        <f>Valuation!J26-Valuation!J24</f>
        <v>175</v>
      </c>
      <c r="D10" s="56">
        <f>Valuation!K26-Valuation!K24</f>
        <v>178</v>
      </c>
      <c r="E10" s="56">
        <f>Valuation!L26-Valuation!L24</f>
        <v>164</v>
      </c>
      <c r="F10" s="56"/>
      <c r="G10" s="56">
        <f>Valuation!O26-Valuation!O24</f>
        <v>218</v>
      </c>
      <c r="H10" s="56">
        <f>Valuation!P26-Valuation!P24</f>
        <v>244</v>
      </c>
      <c r="I10" s="56">
        <f>Valuation!Q26-Valuation!Q24</f>
        <v>296</v>
      </c>
      <c r="J10" s="56">
        <f>Valuation!R26-Valuation!R24</f>
        <v>360</v>
      </c>
      <c r="K10" s="56"/>
      <c r="L10" s="56">
        <f>Valuation!U26-Valuation!U24</f>
        <v>371</v>
      </c>
      <c r="M10" s="56">
        <f>Valuation!V26-Valuation!V24</f>
        <v>419</v>
      </c>
      <c r="N10" s="56">
        <f>Valuation!W26-Valuation!W24</f>
        <v>444</v>
      </c>
      <c r="O10" s="56">
        <f>Valuation!X26-Valuation!X24</f>
        <v>454</v>
      </c>
      <c r="P10" s="56"/>
      <c r="Q10" s="56">
        <f>Valuation!AA26-Valuation!AA24</f>
        <v>503</v>
      </c>
      <c r="R10" s="56">
        <f>Valuation!AB26-Valuation!AB24</f>
        <v>563</v>
      </c>
      <c r="S10" s="56">
        <f>Valuation!AC26-Valuation!AC24</f>
        <v>634</v>
      </c>
      <c r="T10" s="56">
        <f>Valuation!AD26-Valuation!AD24</f>
        <v>709</v>
      </c>
      <c r="U10" s="56"/>
      <c r="V10" s="56">
        <f>Valuation!AG26-Valuation!AG24</f>
        <v>760</v>
      </c>
      <c r="W10" s="56">
        <f>Valuation!AH26-Valuation!AH24</f>
        <v>829</v>
      </c>
      <c r="X10" s="56">
        <f>Valuation!AI26-Valuation!AI24</f>
        <v>890</v>
      </c>
      <c r="Y10" s="56">
        <f>Valuation!AJ26-Valuation!AJ24</f>
        <v>914</v>
      </c>
      <c r="Z10" s="56"/>
      <c r="AA10" s="56">
        <f>Valuation!AM26-Valuation!AM24</f>
        <v>994</v>
      </c>
      <c r="AB10" s="56">
        <f>Valuation!AN26-Valuation!AN24</f>
        <v>1126</v>
      </c>
      <c r="AC10" s="56">
        <f>Valuation!AO26-Valuation!AO24</f>
        <v>1204</v>
      </c>
      <c r="AD10" s="56">
        <f>Valuation!AP26-Valuation!AP24</f>
        <v>1363</v>
      </c>
      <c r="AF10" s="56">
        <f>Valuation!AS26-Valuation!AS24</f>
        <v>1412</v>
      </c>
      <c r="AG10" s="56">
        <f>Valuation!AT26-Valuation!AT24</f>
        <v>1476</v>
      </c>
      <c r="AH10" s="56">
        <f>Valuation!AU26-Valuation!AU24</f>
        <v>1503</v>
      </c>
      <c r="AI10" s="56">
        <f>Valuation!AV26-Valuation!AV24</f>
        <v>1300</v>
      </c>
      <c r="AK10" s="56">
        <f>Valuation!AY26-Valuation!AY24</f>
        <v>1142</v>
      </c>
      <c r="AL10" s="72">
        <f>Valuation!AZ26-Valuation!AZ24</f>
        <v>975</v>
      </c>
      <c r="AM10" s="72">
        <f>Valuation!BA26-Valuation!BA24</f>
        <v>878</v>
      </c>
      <c r="AN10" s="72">
        <f>Valuation!BB26-Valuation!BB24</f>
        <v>935</v>
      </c>
      <c r="AP10" s="72">
        <f>Valuation!BE26-Valuation!BE24</f>
        <v>1023</v>
      </c>
      <c r="AQ10" s="72">
        <f>Valuation!BF26-Valuation!BF24</f>
        <v>1011</v>
      </c>
      <c r="AR10" s="72">
        <f>Valuation!BG26-Valuation!BG24</f>
        <v>1025</v>
      </c>
      <c r="AS10" s="72">
        <f>Valuation!BH26-Valuation!BH24</f>
        <v>985</v>
      </c>
      <c r="AU10" s="72">
        <f>Valuation!BK26-Valuation!BK24</f>
        <v>971</v>
      </c>
      <c r="AV10" s="72">
        <f>Valuation!BL26-Valuation!BL24</f>
        <v>908</v>
      </c>
      <c r="AW10" s="72">
        <f>Valuation!BM26-Valuation!BM24</f>
        <v>947</v>
      </c>
      <c r="AX10" s="72">
        <f>Valuation!BN26-Valuation!BN24</f>
        <v>1036</v>
      </c>
      <c r="AZ10" s="72">
        <f>+Valuation!BQ26</f>
        <v>1044</v>
      </c>
      <c r="BA10" s="72">
        <f>+Valuation!BR26</f>
        <v>1065</v>
      </c>
      <c r="BB10" s="72"/>
      <c r="BC10" s="72"/>
    </row>
    <row r="11" spans="1:55">
      <c r="A11" t="s">
        <v>203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F11" s="56">
        <f>+'Segment Data'!AY24+'Segment Data'!AV24+'Segment Data'!AU24+'Segment Data'!AT24</f>
        <v>152</v>
      </c>
      <c r="AG11" s="56">
        <f>+'Segment Data'!AZ24+'Segment Data'!AY24+'Segment Data'!AV24+'Segment Data'!AU24</f>
        <v>208</v>
      </c>
      <c r="AH11" s="56">
        <f>+'Segment Data'!BA24+'Segment Data'!AZ24+'Segment Data'!AY24+'Segment Data'!AV24</f>
        <v>263</v>
      </c>
      <c r="AI11" s="56">
        <f>+'Segment Data'!BC24</f>
        <v>222</v>
      </c>
      <c r="AK11" s="56">
        <f>+'Segment Data'!BE24+'Segment Data'!BB24+'Segment Data'!BA24+'Segment Data'!AZ24</f>
        <v>212</v>
      </c>
      <c r="AL11" s="72">
        <f>+'Segment Data'!BF24+'Segment Data'!BE24+'Segment Data'!BB24+'Segment Data'!BA24</f>
        <v>164</v>
      </c>
      <c r="AM11" s="72">
        <f>+'Segment Data'!BG24+'Segment Data'!BF24+'Segment Data'!BE24+'Segment Data'!BB24</f>
        <v>127</v>
      </c>
      <c r="AN11" s="72">
        <f>+'Segment Data'!BI24</f>
        <v>136</v>
      </c>
      <c r="AP11" s="72">
        <f>+'Segment Data'!BK24+'Segment Data'!BH24+'Segment Data'!BG24+'Segment Data'!BF24</f>
        <v>115</v>
      </c>
      <c r="AQ11" s="72">
        <f>+'Segment Data'!BL24+'Segment Data'!BK24+'Segment Data'!BH24+'Segment Data'!BG24</f>
        <v>95</v>
      </c>
      <c r="AR11" s="72">
        <f>+'Segment Data'!BM24+'Segment Data'!BL24+'Segment Data'!BK24+'Segment Data'!BH24</f>
        <v>74</v>
      </c>
      <c r="AS11" s="72">
        <f>+'Segment Data'!BO24</f>
        <v>90</v>
      </c>
      <c r="AU11" s="72">
        <f>+'Segment Data'!BQ24+'Segment Data'!BN24+'Segment Data'!BM24+'Segment Data'!BL24</f>
        <v>102</v>
      </c>
      <c r="AV11" s="72">
        <f>+'Segment Data'!BR24+'Segment Data'!BQ24+'Segment Data'!BN24+'Segment Data'!BM24</f>
        <v>100</v>
      </c>
      <c r="AW11" s="72">
        <f>+'Segment Data'!BS24+'Segment Data'!BR24+'Segment Data'!BQ24+'Segment Data'!BN24</f>
        <v>172</v>
      </c>
      <c r="AX11" s="72">
        <f>+'Segment Data'!BU24</f>
        <v>158</v>
      </c>
      <c r="AZ11" s="72">
        <f>+'Segment Data'!BW24+'Segment Data'!BT24+'Segment Data'!BS24+'Segment Data'!BR24</f>
        <v>130</v>
      </c>
      <c r="BA11" s="72">
        <f>+'Segment Data'!BX24+'Segment Data'!BW24+'Segment Data'!BT24+'Segment Data'!BS24</f>
        <v>109</v>
      </c>
      <c r="BB11" s="72"/>
      <c r="BC11" s="72"/>
    </row>
    <row r="12" spans="1:55">
      <c r="A12" t="s">
        <v>111</v>
      </c>
      <c r="B12" s="56">
        <f>'Segment Data'!D14+'Segment Data'!E14+'Segment Data'!F14+'Segment Data'!I14</f>
        <v>6239</v>
      </c>
      <c r="C12" s="56">
        <f>'Segment Data'!E14+'Segment Data'!F14+'Segment Data'!I14+'Segment Data'!J14</f>
        <v>6087</v>
      </c>
      <c r="D12" s="56">
        <f>'Segment Data'!F14+'Segment Data'!I14+'Segment Data'!J14+'Segment Data'!K14</f>
        <v>5986</v>
      </c>
      <c r="E12" s="56">
        <f>'Segment Data'!I14+'Segment Data'!J14+'Segment Data'!K14+'Segment Data'!L14</f>
        <v>5889</v>
      </c>
      <c r="G12" s="56">
        <f>'Segment Data'!J14+'Segment Data'!K14+'Segment Data'!L14+'Segment Data'!O14</f>
        <v>5872</v>
      </c>
      <c r="H12" s="56">
        <f>'Segment Data'!K14+'Segment Data'!L14+'Segment Data'!O14+'Segment Data'!P14</f>
        <v>5810</v>
      </c>
      <c r="I12" s="56">
        <f>'Segment Data'!L14+'Segment Data'!O14+'Segment Data'!P14+'Segment Data'!Q14</f>
        <v>5822</v>
      </c>
      <c r="J12" s="56">
        <f>'Segment Data'!O14+'Segment Data'!P14+'Segment Data'!Q14+'Segment Data'!R14</f>
        <v>5824</v>
      </c>
      <c r="L12" s="56">
        <f>'Segment Data'!P14+'Segment Data'!Q14+'Segment Data'!R14+'Segment Data'!AA14</f>
        <v>5794</v>
      </c>
      <c r="M12" s="56">
        <f>'Segment Data'!Q14+'Segment Data'!R14+'Segment Data'!AA14+'Segment Data'!AB14</f>
        <v>6181</v>
      </c>
      <c r="N12" s="56">
        <f>'Segment Data'!R14+'Segment Data'!AA14+'Segment Data'!AB14+'Segment Data'!AC14</f>
        <v>6626</v>
      </c>
      <c r="O12" s="56">
        <f>'Segment Data'!AA14+'Segment Data'!AB14+'Segment Data'!AC14+'Segment Data'!AD14</f>
        <v>7138</v>
      </c>
      <c r="Q12" s="56">
        <f>'Segment Data'!AB14+'Segment Data'!AC14+'Segment Data'!AD14+'Segment Data'!AG14</f>
        <v>7700</v>
      </c>
      <c r="R12" s="56">
        <f>'Segment Data'!AC14+'Segment Data'!AD14+'Segment Data'!AG14+'Segment Data'!AH14</f>
        <v>8137</v>
      </c>
      <c r="S12" s="56">
        <f>'Segment Data'!AD14+'Segment Data'!AG14+'Segment Data'!AH14+'Segment Data'!AI14</f>
        <v>8391</v>
      </c>
      <c r="T12" s="56">
        <f>'Segment Data'!AG14+'Segment Data'!AH14+'Segment Data'!AI14+'Segment Data'!AJ14</f>
        <v>8750</v>
      </c>
      <c r="V12" s="56">
        <f>'Segment Data'!AH14+'Segment Data'!AI14+'Segment Data'!AJ14+'Segment Data'!AM14</f>
        <v>9296</v>
      </c>
      <c r="W12" s="56">
        <f>'Segment Data'!AI14+'Segment Data'!AJ14+'Segment Data'!AM14+'Segment Data'!AN14</f>
        <v>9841</v>
      </c>
      <c r="X12" s="56">
        <f>'Segment Data'!AJ14+'Segment Data'!AM14+'Segment Data'!AN14+'Segment Data'!AO14</f>
        <v>10313</v>
      </c>
      <c r="Y12" s="56">
        <f>'Segment Data'!AM14+'Segment Data'!AN14+'Segment Data'!AO14+'Segment Data'!AP14</f>
        <v>10815</v>
      </c>
      <c r="AA12" s="56">
        <f>'Segment Data'!AN14+'Segment Data'!AO14+'Segment Data'!AP14+'Segment Data'!AS14</f>
        <v>11533</v>
      </c>
      <c r="AB12" s="56">
        <f>'Segment Data'!AO14+'Segment Data'!AP14+'Segment Data'!AS14+'Segment Data'!AT14</f>
        <v>12308</v>
      </c>
      <c r="AC12" s="56">
        <f>'Segment Data'!AP14+'Segment Data'!AS14+'Segment Data'!AT14+'Segment Data'!AU14</f>
        <v>12961</v>
      </c>
      <c r="AD12" s="56">
        <v>13525</v>
      </c>
      <c r="AF12" s="56">
        <f>+'Segment Data'!AY14+'Segment Data'!AV14+'Segment Data'!AU14+'Segment Data'!AT14</f>
        <v>13761</v>
      </c>
      <c r="AG12" s="56">
        <f>+'Segment Data'!AZ14+'Segment Data'!AY14+'Segment Data'!AV14+'Segment Data'!AU14</f>
        <v>13938</v>
      </c>
      <c r="AH12" s="56">
        <f>+'Segment Data'!BA14+'Segment Data'!AZ14+'Segment Data'!AY14+'Segment Data'!AV14</f>
        <v>14110</v>
      </c>
      <c r="AI12" s="56">
        <f>+'Segment Data'!BC14</f>
        <v>13828</v>
      </c>
      <c r="AK12" s="80">
        <f>+'Segment Data'!BE14+'Segment Data'!BB14+'Segment Data'!BA14+'Segment Data'!AZ14</f>
        <v>13097</v>
      </c>
      <c r="AL12" s="56">
        <f>+'Segment Data'!BA14+'Segment Data'!BB14+'Segment Data'!BE14+'Segment Data'!BF14</f>
        <v>12452</v>
      </c>
      <c r="AM12" s="56">
        <f>+'Segment Data'!BB14+'Segment Data'!BE14+'Segment Data'!BF14+'Segment Data'!BG14</f>
        <v>11905</v>
      </c>
      <c r="AN12" s="72">
        <f>'Segment Data'!BI14</f>
        <v>11687</v>
      </c>
      <c r="AP12" s="72">
        <f>'Segment Data'!BK14+'Segment Data'!BH14+'Segment Data'!BG14+'Segment Data'!BF14</f>
        <v>12114</v>
      </c>
      <c r="AQ12" s="72">
        <f>+'Segment Data'!BL14+'Segment Data'!BK14+'Segment Data'!BH14+'Segment Data'!BG14</f>
        <v>12605</v>
      </c>
      <c r="AR12" s="56">
        <f>+'Segment Data'!BM14+'Segment Data'!BL14+'Segment Data'!BK14+'Segment Data'!BH14</f>
        <v>13349</v>
      </c>
      <c r="AS12" s="56">
        <f>+'Segment Data'!BO14</f>
        <v>14451</v>
      </c>
      <c r="AU12" s="72">
        <f>'Segment Data'!BQ14+'Segment Data'!BN14+'Segment Data'!BM14+'Segment Data'!BL14+1</f>
        <v>15164</v>
      </c>
      <c r="AV12" s="72">
        <f>+'Segment Data'!BR14+'Segment Data'!BQ14+'Segment Data'!BN14+'Segment Data'!BM14</f>
        <v>15544</v>
      </c>
      <c r="AW12" s="72">
        <f>+'Segment Data'!BS14+'Segment Data'!BR14+'Segment Data'!BQ14+'Segment Data'!BN14</f>
        <v>15731</v>
      </c>
      <c r="AX12" s="72">
        <f>+'Segment Data'!BU14</f>
        <v>15604</v>
      </c>
      <c r="AZ12" s="56">
        <f>+'Segment Data'!BW14+'Segment Data'!BT14+'Segment Data'!BS14+'Segment Data'!BR14</f>
        <v>15361</v>
      </c>
      <c r="BA12" s="72">
        <f>+'Segment Data'!BX14+'Segment Data'!BW14+'Segment Data'!BT14+'Segment Data'!BS14</f>
        <v>15249</v>
      </c>
      <c r="BB12" s="72"/>
      <c r="BC12" s="72"/>
    </row>
    <row r="13" spans="1:55">
      <c r="A13" t="s">
        <v>123</v>
      </c>
      <c r="T13" s="56">
        <f>+'Segment Data'!AJ17+'Segment Data'!AI17+'Segment Data'!AH17+'Segment Data'!AG17</f>
        <v>8180</v>
      </c>
      <c r="V13" s="56">
        <f>+'Segment Data'!AM17+'Segment Data'!AJ17+'Segment Data'!AI17+'Segment Data'!AH17</f>
        <v>8540</v>
      </c>
      <c r="W13" s="56">
        <f>+'Segment Data'!AN17+'Segment Data'!AM17+'Segment Data'!AJ17+'Segment Data'!AI17</f>
        <v>8734</v>
      </c>
      <c r="X13" s="56">
        <f>+'Segment Data'!AO17+'Segment Data'!AN17+'Segment Data'!AM17+'Segment Data'!AJ17</f>
        <v>8835</v>
      </c>
      <c r="Y13" s="56">
        <f>+'Segment Data'!AP17+'Segment Data'!AO17+'Segment Data'!AN17+'Segment Data'!AM17</f>
        <v>9000</v>
      </c>
      <c r="AA13" s="56">
        <f>+'Segment Data'!AS17+'Segment Data'!AP17+'Segment Data'!AO17+'Segment Data'!AN17</f>
        <v>9390</v>
      </c>
      <c r="AB13" s="56">
        <f>+'Segment Data'!AT17+'Segment Data'!AS17+'Segment Data'!AP17+'Segment Data'!AO17</f>
        <v>9901</v>
      </c>
      <c r="AC13" s="56">
        <f>+'Segment Data'!AU17+'Segment Data'!AT17+'Segment Data'!AS17+'Segment Data'!AP17</f>
        <v>10342</v>
      </c>
      <c r="AD13" s="72">
        <f>+'Segment Data'!AV17+'Segment Data'!AU17+'Segment Data'!AT17+'Segment Data'!AS17</f>
        <v>10798</v>
      </c>
      <c r="AF13" s="56">
        <f>+'Segment Data'!AY17+'Segment Data'!AV17+'Segment Data'!AU17+'Segment Data'!AT17</f>
        <v>10958</v>
      </c>
      <c r="AG13" s="56">
        <f>+'Segment Data'!AZ17+'Segment Data'!AY17+'Segment Data'!AV17+'Segment Data'!AU17</f>
        <v>11170</v>
      </c>
      <c r="AH13" s="72">
        <f>+'Segment Data'!BA17+'Segment Data'!AZ17+'Segment Data'!AY17+'Segment Data'!AV17</f>
        <v>11365</v>
      </c>
      <c r="AI13" s="72">
        <f>+'Segment Data'!BC17</f>
        <v>11273</v>
      </c>
      <c r="AK13" s="56">
        <f>+'Segment Data'!BE17+'Segment Data'!BB17+'Segment Data'!BA17+'Segment Data'!AZ17</f>
        <v>10917</v>
      </c>
      <c r="AL13" s="56">
        <f>+'Segment Data'!BA17+'Segment Data'!BB17+'Segment Data'!BE17+'Segment Data'!BF17</f>
        <v>10527</v>
      </c>
      <c r="AM13" s="56">
        <f>+'Segment Data'!BB17+'Segment Data'!BE17+'Segment Data'!BF17+'Segment Data'!BG17</f>
        <v>10176</v>
      </c>
      <c r="AN13" s="72">
        <f>'Segment Data'!BI17</f>
        <v>9950</v>
      </c>
      <c r="AP13" s="72">
        <f>'Segment Data'!BK17+'Segment Data'!BH17+'Segment Data'!BG17+'Segment Data'!BF17</f>
        <v>10101</v>
      </c>
      <c r="AQ13" s="72">
        <f>+'Segment Data'!BL17+'Segment Data'!BK17+'Segment Data'!BH17+'Segment Data'!BG17</f>
        <v>10363</v>
      </c>
      <c r="AR13" s="56">
        <f>+'Segment Data'!BM17+'Segment Data'!BL17+'Segment Data'!BK17+'Segment Data'!BH17</f>
        <v>10843</v>
      </c>
      <c r="AS13" s="56">
        <f>+'Segment Data'!BO17</f>
        <v>11478</v>
      </c>
      <c r="AU13" s="72">
        <f>'Segment Data'!BQ17+'Segment Data'!BN17+'Segment Data'!BM17+'Segment Data'!BL17+1</f>
        <v>11848</v>
      </c>
      <c r="AV13" s="72">
        <f>+'Segment Data'!BR17+'Segment Data'!BQ17+'Segment Data'!BN17+'Segment Data'!BM17</f>
        <v>11971</v>
      </c>
      <c r="AW13" s="72">
        <f>+'Segment Data'!BS17+'Segment Data'!BR17+'Segment Data'!BQ17+'Segment Data'!BN17</f>
        <v>12055</v>
      </c>
      <c r="AX13" s="72">
        <f>+'Segment Data'!BU17</f>
        <v>12151</v>
      </c>
      <c r="AZ13" s="56">
        <f>+'Segment Data'!BW17+'Segment Data'!BT17+'Segment Data'!BS17+'Segment Data'!BR17</f>
        <v>12094</v>
      </c>
      <c r="BA13" s="72">
        <f>+'Segment Data'!BX17+'Segment Data'!BW17+'Segment Data'!BT17+'Segment Data'!BS17</f>
        <v>12096</v>
      </c>
      <c r="BB13" s="72"/>
      <c r="BC13" s="72"/>
    </row>
    <row r="15" spans="1:55"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</row>
    <row r="16" spans="1:55">
      <c r="AF16" s="56"/>
      <c r="AG16" s="56"/>
      <c r="AH16" s="72"/>
      <c r="AI16" s="72"/>
    </row>
  </sheetData>
  <phoneticPr fontId="12" type="noConversion"/>
  <pageMargins left="0.74803149606299213" right="0.74803149606299213" top="0.98425196850393704" bottom="0.98425196850393704" header="0.51181102362204722" footer="0.51181102362204722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Front Page</vt:lpstr>
      <vt:lpstr> Financial Highlights</vt:lpstr>
      <vt:lpstr>Balance Sheet</vt:lpstr>
      <vt:lpstr>Cashflow</vt:lpstr>
      <vt:lpstr>Segment Data</vt:lpstr>
      <vt:lpstr>Valuation</vt:lpstr>
      <vt:lpstr>EBITDA udvikling</vt:lpstr>
      <vt:lpstr>' Financial Highlights'!Print_Area</vt:lpstr>
      <vt:lpstr>'Balance Sheet'!Print_Area</vt:lpstr>
      <vt:lpstr>Cashflow!Print_Area</vt:lpstr>
      <vt:lpstr>'EBITDA udvikling'!Print_Area</vt:lpstr>
      <vt:lpstr>'Front Page'!Print_Area</vt:lpstr>
      <vt:lpstr>'Segment Data'!Print_Area</vt:lpstr>
      <vt:lpstr>Valuation!Print_Area</vt:lpstr>
      <vt:lpstr>' Financial Highlights'!Print_Titles</vt:lpstr>
      <vt:lpstr>'Balance Sheet'!Print_Titles</vt:lpstr>
      <vt:lpstr>Cashflow!Print_Titles</vt:lpstr>
      <vt:lpstr>'EBITDA udvikling'!Print_Titles</vt:lpstr>
      <vt:lpstr>'Segment Data'!Print_Titles</vt:lpstr>
      <vt:lpstr>Valuation!Print_Titles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Jannie Ellebo</dc:creator>
  <cp:lastModifiedBy>Jannie Ellebo</cp:lastModifiedBy>
  <cp:lastPrinted>2012-08-02T07:01:00Z</cp:lastPrinted>
  <dcterms:created xsi:type="dcterms:W3CDTF">2003-02-28T10:07:39Z</dcterms:created>
  <dcterms:modified xsi:type="dcterms:W3CDTF">2012-08-22T13:35:58Z</dcterms:modified>
</cp:coreProperties>
</file>