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035" windowWidth="8820" windowHeight="4995" tabRatio="855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  <sheet name="EBITDA udvikling" sheetId="7" r:id="rId7"/>
  </sheets>
  <definedNames>
    <definedName name="_xlnm.Print_Area" localSheetId="1">' Financial Highlights'!$BW$4:$CM$46</definedName>
    <definedName name="_xlnm.Print_Area" localSheetId="2">'Balance Sheet'!$BK$6:$BX$43</definedName>
    <definedName name="_xlnm.Print_Area" localSheetId="3">Cashflow!$BW$5:$CM$33</definedName>
    <definedName name="_xlnm.Print_Area" localSheetId="6">'EBITDA udvikling'!$AY$15:$BH$39</definedName>
    <definedName name="_xlnm.Print_Area" localSheetId="0">'Front Page'!$A$1:$M$25</definedName>
    <definedName name="_xlnm.Print_Area" localSheetId="4">'Segment Data'!$BW$4:$CM$86</definedName>
    <definedName name="_xlnm.Print_Area" localSheetId="5">Valuation!$BQ$4:$CG$38</definedName>
    <definedName name="_xlnm.Print_Titles" localSheetId="1">' Financial Highlights'!$A:$B,' Financial Highlights'!$1:$3</definedName>
    <definedName name="_xlnm.Print_Titles" localSheetId="2">'Balance Sheet'!$A:$B,'Balance Sheet'!$1:$3</definedName>
    <definedName name="_xlnm.Print_Titles" localSheetId="3">Cashflow!$A:$B,Cashflow!$1:$4</definedName>
    <definedName name="_xlnm.Print_Titles" localSheetId="6">'EBITDA udvikling'!$A:$A</definedName>
    <definedName name="_xlnm.Print_Titles" localSheetId="4">'Segment Data'!$A:$B,'Segment Data'!$1:$3</definedName>
    <definedName name="_xlnm.Print_Titles" localSheetId="5">Valuation!$A:$B,Valuation!$1:$3</definedName>
  </definedNames>
  <calcPr calcId="125725"/>
</workbook>
</file>

<file path=xl/calcChain.xml><?xml version="1.0" encoding="utf-8"?>
<calcChain xmlns="http://schemas.openxmlformats.org/spreadsheetml/2006/main">
  <c r="BT29" i="4"/>
  <c r="BS29"/>
  <c r="BR29"/>
  <c r="BQ29"/>
  <c r="BZ29"/>
  <c r="BY29"/>
  <c r="BX29"/>
  <c r="BW29"/>
  <c r="CF29"/>
  <c r="CE29"/>
  <c r="CD29"/>
  <c r="CC29"/>
  <c r="CK29"/>
  <c r="CJ29"/>
  <c r="CI29"/>
  <c r="CL29"/>
  <c r="CL28"/>
  <c r="CK28"/>
  <c r="CJ28"/>
  <c r="CI28"/>
  <c r="CL27"/>
  <c r="CK27"/>
  <c r="CJ27"/>
  <c r="CI27"/>
  <c r="CL25"/>
  <c r="CK25"/>
  <c r="CJ25"/>
  <c r="CI25"/>
  <c r="CM24"/>
  <c r="CM23"/>
  <c r="CM22"/>
  <c r="CM21"/>
  <c r="CM20"/>
  <c r="CF28"/>
  <c r="CE28"/>
  <c r="CD28"/>
  <c r="CC28"/>
  <c r="CF27"/>
  <c r="CE27"/>
  <c r="CD27"/>
  <c r="CC27"/>
  <c r="CF25"/>
  <c r="CE25"/>
  <c r="CD25"/>
  <c r="CC25"/>
  <c r="CG24"/>
  <c r="CG23"/>
  <c r="CG22"/>
  <c r="CG21"/>
  <c r="CG20"/>
  <c r="BZ28"/>
  <c r="BY28"/>
  <c r="BX28"/>
  <c r="BW28"/>
  <c r="BZ27"/>
  <c r="BY27"/>
  <c r="BX27"/>
  <c r="BW27"/>
  <c r="BZ25"/>
  <c r="BY25"/>
  <c r="BX25"/>
  <c r="BW25"/>
  <c r="CA24"/>
  <c r="CA23"/>
  <c r="CA22"/>
  <c r="CA21"/>
  <c r="CA20"/>
  <c r="BT25"/>
  <c r="BS25"/>
  <c r="BR25"/>
  <c r="BQ25"/>
  <c r="BT28"/>
  <c r="BS28"/>
  <c r="BR28"/>
  <c r="BQ28"/>
  <c r="BT27"/>
  <c r="BS27"/>
  <c r="BR27"/>
  <c r="BQ27"/>
  <c r="BU24"/>
  <c r="BU23"/>
  <c r="BU22"/>
  <c r="BU21"/>
  <c r="BU20"/>
  <c r="BL27"/>
  <c r="BM27"/>
  <c r="BN27"/>
  <c r="BL28"/>
  <c r="BM28"/>
  <c r="BN28"/>
  <c r="BK28"/>
  <c r="BK27"/>
  <c r="BO24"/>
  <c r="BN25"/>
  <c r="BM25"/>
  <c r="BL25"/>
  <c r="BK25"/>
  <c r="CJ26" l="1"/>
  <c r="BU25"/>
  <c r="CM25"/>
  <c r="CG25"/>
  <c r="CA25"/>
  <c r="BO21"/>
  <c r="BO22"/>
  <c r="BO23"/>
  <c r="BO20"/>
  <c r="CL37" i="1"/>
  <c r="CL29"/>
  <c r="CL9"/>
  <c r="BX23" i="2"/>
  <c r="BX28" s="1"/>
  <c r="CL30" i="1" s="1"/>
  <c r="BX16" i="2"/>
  <c r="BX18" s="1"/>
  <c r="BX9"/>
  <c r="CL19" i="3"/>
  <c r="CL7"/>
  <c r="CL12" s="1"/>
  <c r="CF29" i="6"/>
  <c r="CL81" i="4"/>
  <c r="CL82"/>
  <c r="CL79"/>
  <c r="CL32" i="1" s="1"/>
  <c r="CL69" i="4"/>
  <c r="CL43"/>
  <c r="CL42"/>
  <c r="CL41"/>
  <c r="CL39"/>
  <c r="CL7" i="1" s="1"/>
  <c r="CL11" s="1"/>
  <c r="CL14" s="1"/>
  <c r="CL16" s="1"/>
  <c r="CL19" s="1"/>
  <c r="CL14" i="4"/>
  <c r="CL5" i="1" s="1"/>
  <c r="CI29"/>
  <c r="CI45" s="1"/>
  <c r="CJ29"/>
  <c r="CK29"/>
  <c r="CK45" s="1"/>
  <c r="CK81" i="4"/>
  <c r="CK82"/>
  <c r="CK37" i="1"/>
  <c r="BW24" i="2"/>
  <c r="BW23"/>
  <c r="BW28"/>
  <c r="CK30" i="1" s="1"/>
  <c r="BW16" i="2"/>
  <c r="BW9"/>
  <c r="BW18"/>
  <c r="CK19" i="3"/>
  <c r="CK12"/>
  <c r="CK36" i="1" s="1"/>
  <c r="CE29" i="6"/>
  <c r="CK79" i="4"/>
  <c r="CK32" i="1" s="1"/>
  <c r="CK69" i="4"/>
  <c r="CK43"/>
  <c r="CK42"/>
  <c r="CK41"/>
  <c r="CK39"/>
  <c r="CK7" i="1" s="1"/>
  <c r="CK11" s="1"/>
  <c r="CK14" s="1"/>
  <c r="CK16" s="1"/>
  <c r="CK19" s="1"/>
  <c r="CK14" i="4"/>
  <c r="CK17" s="1"/>
  <c r="CK26" s="1"/>
  <c r="CJ81"/>
  <c r="CD23" i="6"/>
  <c r="BV23" i="2"/>
  <c r="BV28" s="1"/>
  <c r="CJ30" i="1" s="1"/>
  <c r="BV16" i="2"/>
  <c r="BV9"/>
  <c r="BV18" s="1"/>
  <c r="CJ46" i="1"/>
  <c r="CJ37"/>
  <c r="CJ19" i="3"/>
  <c r="CJ12"/>
  <c r="CJ36" i="1"/>
  <c r="CD29" i="6"/>
  <c r="CJ82" i="4"/>
  <c r="CJ79"/>
  <c r="CJ32" i="1" s="1"/>
  <c r="CJ69" i="4"/>
  <c r="CJ43"/>
  <c r="CJ42"/>
  <c r="CJ41"/>
  <c r="CJ39"/>
  <c r="CJ14"/>
  <c r="CJ17" s="1"/>
  <c r="CI82"/>
  <c r="CI81"/>
  <c r="CI46" i="1"/>
  <c r="CM44"/>
  <c r="CM43"/>
  <c r="CL42"/>
  <c r="CK42"/>
  <c r="CJ42"/>
  <c r="CI42"/>
  <c r="CI37"/>
  <c r="CM37" s="1"/>
  <c r="CM20"/>
  <c r="CM18"/>
  <c r="CM17"/>
  <c r="CM15"/>
  <c r="CM13"/>
  <c r="CM12"/>
  <c r="CM10"/>
  <c r="CM9"/>
  <c r="CM8"/>
  <c r="BU23" i="2"/>
  <c r="BU28" s="1"/>
  <c r="CI30" i="1" s="1"/>
  <c r="BU16" i="2"/>
  <c r="BU9"/>
  <c r="BU18" s="1"/>
  <c r="CM32" i="3"/>
  <c r="CM28"/>
  <c r="CM25"/>
  <c r="CM24"/>
  <c r="CM23"/>
  <c r="CI19"/>
  <c r="CM18"/>
  <c r="CM17"/>
  <c r="CM16"/>
  <c r="CM15"/>
  <c r="CM14"/>
  <c r="CI12"/>
  <c r="CI36" i="1"/>
  <c r="CM11" i="3"/>
  <c r="CM8"/>
  <c r="CI79" i="4"/>
  <c r="CI32" i="1" s="1"/>
  <c r="CI69" i="4"/>
  <c r="CM68"/>
  <c r="CM67"/>
  <c r="CM66"/>
  <c r="CM65"/>
  <c r="CM64"/>
  <c r="CM63"/>
  <c r="CM62"/>
  <c r="CI43"/>
  <c r="CI42"/>
  <c r="CI41"/>
  <c r="CI39"/>
  <c r="CI7" i="1" s="1"/>
  <c r="CM38" i="4"/>
  <c r="CM37"/>
  <c r="CM36"/>
  <c r="CM35"/>
  <c r="CM34"/>
  <c r="CM33"/>
  <c r="CM16"/>
  <c r="CM27" s="1"/>
  <c r="CI14"/>
  <c r="CI5" i="1" s="1"/>
  <c r="CM13" i="4"/>
  <c r="CM12"/>
  <c r="CM11"/>
  <c r="CM29" s="1"/>
  <c r="CM10"/>
  <c r="CM9"/>
  <c r="CM8"/>
  <c r="CM28" s="1"/>
  <c r="CM7"/>
  <c r="CM32"/>
  <c r="CM42" s="1"/>
  <c r="CC29" i="6"/>
  <c r="CF10"/>
  <c r="CF14" s="1"/>
  <c r="CF17" s="1"/>
  <c r="CE10"/>
  <c r="CD10"/>
  <c r="CD14" s="1"/>
  <c r="CD17" s="1"/>
  <c r="CC10"/>
  <c r="CC14"/>
  <c r="CC17"/>
  <c r="CF81" i="4"/>
  <c r="CF82"/>
  <c r="CE37" i="1"/>
  <c r="CF37"/>
  <c r="CF11"/>
  <c r="CF14"/>
  <c r="CF16" s="1"/>
  <c r="CF19" s="1"/>
  <c r="CF21" s="1"/>
  <c r="CF69" i="4"/>
  <c r="BS24" i="2"/>
  <c r="BS23"/>
  <c r="BS28" s="1"/>
  <c r="BS16"/>
  <c r="BS18" s="1"/>
  <c r="BS9"/>
  <c r="CF79" i="4"/>
  <c r="CF14"/>
  <c r="CF32"/>
  <c r="CF41" s="1"/>
  <c r="CF43"/>
  <c r="CF46" i="1"/>
  <c r="CF42"/>
  <c r="CG15"/>
  <c r="CF19" i="3"/>
  <c r="CF12"/>
  <c r="CG7"/>
  <c r="CE81" i="4"/>
  <c r="BS29" i="6"/>
  <c r="BY29"/>
  <c r="CE46" i="1"/>
  <c r="CE42"/>
  <c r="CE29"/>
  <c r="CE45" s="1"/>
  <c r="BR24" i="2"/>
  <c r="BR23"/>
  <c r="BR28" s="1"/>
  <c r="CE30" i="1" s="1"/>
  <c r="BR16" i="2"/>
  <c r="BR9"/>
  <c r="BR18" s="1"/>
  <c r="CE19" i="3"/>
  <c r="CE12"/>
  <c r="CE21"/>
  <c r="CE26" s="1"/>
  <c r="CE82" i="4"/>
  <c r="CE79"/>
  <c r="CE32" i="1" s="1"/>
  <c r="CE69" i="4"/>
  <c r="CE43"/>
  <c r="CE42"/>
  <c r="CE41"/>
  <c r="CE39"/>
  <c r="CE7" i="1" s="1"/>
  <c r="CE11" s="1"/>
  <c r="CE14" s="1"/>
  <c r="CE16" s="1"/>
  <c r="CE19" s="1"/>
  <c r="CE21" s="1"/>
  <c r="CE14" i="4"/>
  <c r="CD46" i="1"/>
  <c r="CD42"/>
  <c r="BX29" i="6"/>
  <c r="CD37" i="1"/>
  <c r="BQ23" i="2"/>
  <c r="BQ28" s="1"/>
  <c r="BQ16"/>
  <c r="BQ9"/>
  <c r="CD19" i="3"/>
  <c r="CD12"/>
  <c r="CD36" i="1"/>
  <c r="CD82" i="4"/>
  <c r="CD81"/>
  <c r="CD79"/>
  <c r="CD69"/>
  <c r="CD43"/>
  <c r="CD42"/>
  <c r="CD41"/>
  <c r="CD39"/>
  <c r="CD14"/>
  <c r="CG8"/>
  <c r="CG28" s="1"/>
  <c r="CC82"/>
  <c r="BW29" i="6"/>
  <c r="CC46" i="1"/>
  <c r="CG44"/>
  <c r="CG43"/>
  <c r="CC42"/>
  <c r="CC37"/>
  <c r="CG37" s="1"/>
  <c r="CG20"/>
  <c r="CG18"/>
  <c r="CG17"/>
  <c r="CG13"/>
  <c r="CG12"/>
  <c r="CG10"/>
  <c r="CG8"/>
  <c r="BP23" i="2"/>
  <c r="BP28" s="1"/>
  <c r="BP16"/>
  <c r="BP9"/>
  <c r="CG32" i="3"/>
  <c r="CG28"/>
  <c r="CG25"/>
  <c r="CG24"/>
  <c r="CG23"/>
  <c r="CC19"/>
  <c r="CG18"/>
  <c r="CG17"/>
  <c r="CG16"/>
  <c r="CG15"/>
  <c r="CG14"/>
  <c r="CG19" s="1"/>
  <c r="CC12"/>
  <c r="CG11"/>
  <c r="CG8"/>
  <c r="CC81" i="4"/>
  <c r="CC79"/>
  <c r="CC69"/>
  <c r="CG68"/>
  <c r="CG67"/>
  <c r="CG66"/>
  <c r="CG65"/>
  <c r="CG64"/>
  <c r="CG63"/>
  <c r="CG62"/>
  <c r="CC43"/>
  <c r="CG38"/>
  <c r="CG37"/>
  <c r="CG36"/>
  <c r="BZ29" i="6" s="1"/>
  <c r="CG35" i="4"/>
  <c r="CG34"/>
  <c r="CG33"/>
  <c r="CC42"/>
  <c r="CG16"/>
  <c r="CG27" s="1"/>
  <c r="CC14"/>
  <c r="CC17" s="1"/>
  <c r="CC26" s="1"/>
  <c r="CG13"/>
  <c r="CG12"/>
  <c r="CG11"/>
  <c r="CG29" s="1"/>
  <c r="CG10"/>
  <c r="CG9"/>
  <c r="CG7"/>
  <c r="BZ10" i="6"/>
  <c r="BZ14"/>
  <c r="BZ17" s="1"/>
  <c r="CF45" i="1"/>
  <c r="BY10" i="6"/>
  <c r="BY14"/>
  <c r="BY17"/>
  <c r="BX10"/>
  <c r="CD45" i="1"/>
  <c r="BW10" i="6"/>
  <c r="CC45" i="1"/>
  <c r="BT16" i="6"/>
  <c r="BZ82" i="4"/>
  <c r="BZ81"/>
  <c r="BZ43"/>
  <c r="BZ42"/>
  <c r="BZ41"/>
  <c r="BN23" i="2"/>
  <c r="BW38" i="4"/>
  <c r="CA38" s="1"/>
  <c r="BW32"/>
  <c r="BB11" i="7"/>
  <c r="BM23" i="2"/>
  <c r="BM28"/>
  <c r="BY82" i="4"/>
  <c r="BY81"/>
  <c r="BY41"/>
  <c r="BY42"/>
  <c r="BY43"/>
  <c r="BS16" i="6"/>
  <c r="BA11" i="7"/>
  <c r="AZ11"/>
  <c r="AW11"/>
  <c r="AV11"/>
  <c r="AU11"/>
  <c r="AR11"/>
  <c r="AQ11"/>
  <c r="AP11"/>
  <c r="AM11"/>
  <c r="AL11"/>
  <c r="AK11"/>
  <c r="AH11"/>
  <c r="AG11"/>
  <c r="AF11"/>
  <c r="BQ29" i="6"/>
  <c r="BR29"/>
  <c r="BR16"/>
  <c r="BL23" i="2"/>
  <c r="BL28" s="1"/>
  <c r="CA28" i="3"/>
  <c r="BX82" i="4"/>
  <c r="BX81"/>
  <c r="BX43"/>
  <c r="BX42"/>
  <c r="BX41"/>
  <c r="BK41" i="2"/>
  <c r="BW82" i="4"/>
  <c r="BK29" i="6"/>
  <c r="BT10"/>
  <c r="BT14"/>
  <c r="BS10"/>
  <c r="BS14" s="1"/>
  <c r="BS17" s="1"/>
  <c r="BR10"/>
  <c r="BR14"/>
  <c r="BR17" s="1"/>
  <c r="BQ10"/>
  <c r="BW81" i="4"/>
  <c r="BZ79"/>
  <c r="BY79"/>
  <c r="BX79"/>
  <c r="BW79"/>
  <c r="BZ69"/>
  <c r="BY69"/>
  <c r="BX69"/>
  <c r="BW69"/>
  <c r="CA68"/>
  <c r="CA67"/>
  <c r="CA66"/>
  <c r="CA65"/>
  <c r="CA64"/>
  <c r="CA63"/>
  <c r="CA62"/>
  <c r="CA69" s="1"/>
  <c r="BW43"/>
  <c r="BW42"/>
  <c r="BZ39"/>
  <c r="BZ7" i="1" s="1"/>
  <c r="BZ11" s="1"/>
  <c r="BZ14" s="1"/>
  <c r="BZ16" s="1"/>
  <c r="BZ19" s="1"/>
  <c r="BY39" i="4"/>
  <c r="BX39"/>
  <c r="CA37"/>
  <c r="CA36"/>
  <c r="BT29" i="6" s="1"/>
  <c r="CA35" i="4"/>
  <c r="BC11" i="7" s="1"/>
  <c r="CA34" i="4"/>
  <c r="CA33"/>
  <c r="CA32"/>
  <c r="CA16"/>
  <c r="CA27" s="1"/>
  <c r="BZ14"/>
  <c r="BY14"/>
  <c r="BY5" i="1" s="1"/>
  <c r="BX14" i="4"/>
  <c r="BW14"/>
  <c r="BW5" i="1" s="1"/>
  <c r="CA13" i="4"/>
  <c r="CA12"/>
  <c r="CA11"/>
  <c r="CA29" s="1"/>
  <c r="CA10"/>
  <c r="CA9"/>
  <c r="CA8"/>
  <c r="CA43" s="1"/>
  <c r="CA7"/>
  <c r="CA32" i="3"/>
  <c r="CA25"/>
  <c r="CA24"/>
  <c r="CA23"/>
  <c r="BZ19"/>
  <c r="BY19"/>
  <c r="BX19"/>
  <c r="BW19"/>
  <c r="CA18"/>
  <c r="CA17"/>
  <c r="CA16"/>
  <c r="CA15"/>
  <c r="CA14"/>
  <c r="CA19" s="1"/>
  <c r="CA11"/>
  <c r="CA8"/>
  <c r="BN28" i="2"/>
  <c r="BK23"/>
  <c r="BK28"/>
  <c r="BN16"/>
  <c r="BM16"/>
  <c r="BL16"/>
  <c r="BK16"/>
  <c r="BK18" s="1"/>
  <c r="BN9"/>
  <c r="BN18" s="1"/>
  <c r="BM9"/>
  <c r="BL9"/>
  <c r="BL18"/>
  <c r="BK9"/>
  <c r="BW46" i="1"/>
  <c r="CA44"/>
  <c r="CA43"/>
  <c r="BW42"/>
  <c r="BZ37"/>
  <c r="BY37"/>
  <c r="BX37"/>
  <c r="CA37" s="1"/>
  <c r="BW37"/>
  <c r="BW32"/>
  <c r="CA20"/>
  <c r="CA18"/>
  <c r="CA17"/>
  <c r="CA15"/>
  <c r="CA13"/>
  <c r="CA12"/>
  <c r="CA10"/>
  <c r="CA9"/>
  <c r="CA8"/>
  <c r="BX7"/>
  <c r="BX11" s="1"/>
  <c r="BX14" s="1"/>
  <c r="BX16" s="1"/>
  <c r="BX19" s="1"/>
  <c r="BM18" i="2"/>
  <c r="BY12" i="3"/>
  <c r="BX12"/>
  <c r="BX36" i="1" s="1"/>
  <c r="BZ12" i="3"/>
  <c r="BZ36" i="1" s="1"/>
  <c r="BW12" i="3"/>
  <c r="O41" i="4"/>
  <c r="P42"/>
  <c r="Q42"/>
  <c r="R42"/>
  <c r="BT37" i="1"/>
  <c r="BT42"/>
  <c r="BT46"/>
  <c r="BT43" i="4"/>
  <c r="BT41"/>
  <c r="BT42"/>
  <c r="BT8" i="3"/>
  <c r="BT31" i="1"/>
  <c r="BK82" i="4"/>
  <c r="BS82"/>
  <c r="BS42" i="1"/>
  <c r="BR42"/>
  <c r="BQ42"/>
  <c r="BS37"/>
  <c r="BR37"/>
  <c r="BU37" s="1"/>
  <c r="BQ37"/>
  <c r="BS8" i="3"/>
  <c r="BR8"/>
  <c r="BU8" s="1"/>
  <c r="BQ8"/>
  <c r="BQ46" i="1"/>
  <c r="BR46"/>
  <c r="BS46"/>
  <c r="BM29" i="6"/>
  <c r="BS81" i="4"/>
  <c r="BS43"/>
  <c r="BS42"/>
  <c r="BS41"/>
  <c r="BR82"/>
  <c r="BL29" i="6"/>
  <c r="BR81" i="4"/>
  <c r="BR43"/>
  <c r="BR42"/>
  <c r="BR41"/>
  <c r="BG9" i="2"/>
  <c r="BQ82" i="4"/>
  <c r="BQ81"/>
  <c r="BQ43"/>
  <c r="BQ42"/>
  <c r="BQ41"/>
  <c r="BN10" i="6"/>
  <c r="BN14"/>
  <c r="BN17" s="1"/>
  <c r="BM10"/>
  <c r="BS45" i="1" s="1"/>
  <c r="BL10" i="6"/>
  <c r="BR45" i="1" s="1"/>
  <c r="BK10" i="6"/>
  <c r="BT79" i="4"/>
  <c r="BS79"/>
  <c r="BS32" i="1" s="1"/>
  <c r="BR79" i="4"/>
  <c r="BR32" i="1" s="1"/>
  <c r="BQ79" i="4"/>
  <c r="BQ32" i="1" s="1"/>
  <c r="BT69" i="4"/>
  <c r="BS69"/>
  <c r="BR69"/>
  <c r="BQ69"/>
  <c r="BU68"/>
  <c r="BU67"/>
  <c r="BU66"/>
  <c r="BU65"/>
  <c r="BU64"/>
  <c r="BU63"/>
  <c r="BT82" s="1"/>
  <c r="BU62"/>
  <c r="BT39"/>
  <c r="BT7" i="1" s="1"/>
  <c r="BS39" i="4"/>
  <c r="BR39"/>
  <c r="BR7" i="1" s="1"/>
  <c r="BQ39" i="4"/>
  <c r="BU38"/>
  <c r="BU37"/>
  <c r="BU36"/>
  <c r="BN29" i="6" s="1"/>
  <c r="BU35" i="4"/>
  <c r="AX11" i="7" s="1"/>
  <c r="BU34" i="4"/>
  <c r="BU33"/>
  <c r="BU32"/>
  <c r="BU16"/>
  <c r="BU27" s="1"/>
  <c r="BT14"/>
  <c r="BT5" i="1" s="1"/>
  <c r="BS14" i="4"/>
  <c r="BR14"/>
  <c r="BQ14"/>
  <c r="BQ5" i="1" s="1"/>
  <c r="BU13" i="4"/>
  <c r="BU12"/>
  <c r="BU11"/>
  <c r="BU29" s="1"/>
  <c r="BU10"/>
  <c r="BU9"/>
  <c r="BU8"/>
  <c r="BU43" s="1"/>
  <c r="BU7"/>
  <c r="BU32" i="3"/>
  <c r="BU25"/>
  <c r="BU24"/>
  <c r="BU23"/>
  <c r="BT19"/>
  <c r="BS19"/>
  <c r="BR19"/>
  <c r="BQ19"/>
  <c r="BU18"/>
  <c r="BU17"/>
  <c r="BU16"/>
  <c r="BU15"/>
  <c r="BU14"/>
  <c r="BU19"/>
  <c r="BU11"/>
  <c r="BI23" i="2"/>
  <c r="BI28" s="1"/>
  <c r="BH23"/>
  <c r="BH28" s="1"/>
  <c r="BG23"/>
  <c r="BF23"/>
  <c r="BF28"/>
  <c r="BI16"/>
  <c r="BH16"/>
  <c r="BG16"/>
  <c r="BG18"/>
  <c r="BF16"/>
  <c r="BI9"/>
  <c r="BH9"/>
  <c r="BH18"/>
  <c r="BF9"/>
  <c r="BF18"/>
  <c r="BU44" i="1"/>
  <c r="BU43"/>
  <c r="BU20"/>
  <c r="BU18"/>
  <c r="BU17"/>
  <c r="BU15"/>
  <c r="BU13"/>
  <c r="BU12"/>
  <c r="BU10"/>
  <c r="BU9"/>
  <c r="BU8"/>
  <c r="BN43" i="4"/>
  <c r="BN42"/>
  <c r="BN41"/>
  <c r="BO24" i="3"/>
  <c r="BM11"/>
  <c r="BO11" s="1"/>
  <c r="BO12" s="1"/>
  <c r="BM82" i="4"/>
  <c r="BM81"/>
  <c r="BM43"/>
  <c r="BM42"/>
  <c r="BM41"/>
  <c r="BL82"/>
  <c r="BL37" i="1"/>
  <c r="BO37" s="1"/>
  <c r="BL81" i="4"/>
  <c r="BK81"/>
  <c r="BL45" i="1"/>
  <c r="BL43" i="4"/>
  <c r="BL42"/>
  <c r="BL41"/>
  <c r="BO32" i="3"/>
  <c r="BO25"/>
  <c r="BO23"/>
  <c r="BN19"/>
  <c r="BM19"/>
  <c r="BL19"/>
  <c r="BK19"/>
  <c r="BO18"/>
  <c r="BO17"/>
  <c r="BO16"/>
  <c r="BO15"/>
  <c r="BO14"/>
  <c r="BN12"/>
  <c r="BN21" s="1"/>
  <c r="BN26" s="1"/>
  <c r="BL12"/>
  <c r="BL21" s="1"/>
  <c r="BL26" s="1"/>
  <c r="BK12"/>
  <c r="BK21"/>
  <c r="BK26" s="1"/>
  <c r="BO8"/>
  <c r="BO7"/>
  <c r="BA40" i="2"/>
  <c r="BA24"/>
  <c r="BD23"/>
  <c r="BD28"/>
  <c r="BC23"/>
  <c r="BC28"/>
  <c r="BB23"/>
  <c r="BB28"/>
  <c r="BA23"/>
  <c r="BA28"/>
  <c r="BD16"/>
  <c r="BC16"/>
  <c r="BB16"/>
  <c r="BA16"/>
  <c r="BD9"/>
  <c r="BC9"/>
  <c r="BB9"/>
  <c r="BA9"/>
  <c r="BO44" i="1"/>
  <c r="BO43"/>
  <c r="BI43"/>
  <c r="BE23" i="6"/>
  <c r="BG29"/>
  <c r="BF29"/>
  <c r="BE29"/>
  <c r="BH10"/>
  <c r="BG10"/>
  <c r="BM45" i="1"/>
  <c r="BF10" i="6"/>
  <c r="BF14"/>
  <c r="BF17" s="1"/>
  <c r="BE10"/>
  <c r="BE14" s="1"/>
  <c r="BE17" s="1"/>
  <c r="BN79" i="4"/>
  <c r="BM79"/>
  <c r="BL79"/>
  <c r="BK79"/>
  <c r="BN69"/>
  <c r="BM69"/>
  <c r="BL69"/>
  <c r="BK69"/>
  <c r="BO68"/>
  <c r="BO67"/>
  <c r="BO66"/>
  <c r="BO65"/>
  <c r="BO64"/>
  <c r="BO63"/>
  <c r="BN82" s="1"/>
  <c r="BO62"/>
  <c r="BK43"/>
  <c r="BK42"/>
  <c r="BK41"/>
  <c r="BN39"/>
  <c r="BM39"/>
  <c r="BL39"/>
  <c r="BK39"/>
  <c r="BO38"/>
  <c r="BO37"/>
  <c r="BO36"/>
  <c r="BH29" i="6" s="1"/>
  <c r="BO35" i="4"/>
  <c r="AS11" i="7" s="1"/>
  <c r="BO34" i="4"/>
  <c r="BO33"/>
  <c r="BO32"/>
  <c r="BO16"/>
  <c r="BN14"/>
  <c r="BM14"/>
  <c r="BL14"/>
  <c r="BK14"/>
  <c r="BO13"/>
  <c r="BO12"/>
  <c r="BO11"/>
  <c r="BO10"/>
  <c r="BO9"/>
  <c r="BO8"/>
  <c r="BO7"/>
  <c r="BO36" i="1"/>
  <c r="BO20"/>
  <c r="BO18"/>
  <c r="BO17"/>
  <c r="BO15"/>
  <c r="BO13"/>
  <c r="BO12"/>
  <c r="BN11"/>
  <c r="BN14"/>
  <c r="BN16" s="1"/>
  <c r="BN19" s="1"/>
  <c r="BN21" s="1"/>
  <c r="BM11"/>
  <c r="BM14" s="1"/>
  <c r="BM16" s="1"/>
  <c r="BM19" s="1"/>
  <c r="BM21" s="1"/>
  <c r="BL11"/>
  <c r="BL14"/>
  <c r="BL16" s="1"/>
  <c r="BL19" s="1"/>
  <c r="BL21" s="1"/>
  <c r="BK11"/>
  <c r="BK14" s="1"/>
  <c r="BK16" s="1"/>
  <c r="BK19" s="1"/>
  <c r="BK21" s="1"/>
  <c r="BO10"/>
  <c r="BO9"/>
  <c r="BO8"/>
  <c r="BO7"/>
  <c r="BO5"/>
  <c r="BH42"/>
  <c r="BH45" s="1"/>
  <c r="BG82" i="4"/>
  <c r="BI7" i="3"/>
  <c r="BI37" i="1"/>
  <c r="BE81" i="4"/>
  <c r="BG81"/>
  <c r="BE69"/>
  <c r="BA29" i="6"/>
  <c r="BF79" i="4"/>
  <c r="BG43"/>
  <c r="BG42"/>
  <c r="BG41"/>
  <c r="BF82"/>
  <c r="BF81"/>
  <c r="BI13"/>
  <c r="A8" i="6"/>
  <c r="C8"/>
  <c r="C10" s="1"/>
  <c r="D8"/>
  <c r="D10"/>
  <c r="D14" s="1"/>
  <c r="E8"/>
  <c r="E10" s="1"/>
  <c r="F8"/>
  <c r="F10"/>
  <c r="I8"/>
  <c r="I10" s="1"/>
  <c r="J8"/>
  <c r="J10"/>
  <c r="J14" s="1"/>
  <c r="K8"/>
  <c r="K10" s="1"/>
  <c r="L8"/>
  <c r="L10"/>
  <c r="O8"/>
  <c r="O10" s="1"/>
  <c r="P8"/>
  <c r="P10"/>
  <c r="P14" s="1"/>
  <c r="Q8"/>
  <c r="Q10" s="1"/>
  <c r="R8"/>
  <c r="R10"/>
  <c r="U8"/>
  <c r="U10" s="1"/>
  <c r="V8"/>
  <c r="V10"/>
  <c r="W8"/>
  <c r="W10" s="1"/>
  <c r="X8"/>
  <c r="X10"/>
  <c r="AA10"/>
  <c r="AB10"/>
  <c r="AC10"/>
  <c r="AD10"/>
  <c r="AG10"/>
  <c r="AH10"/>
  <c r="AI10"/>
  <c r="AI14"/>
  <c r="AI17" s="1"/>
  <c r="AJ10"/>
  <c r="AM10"/>
  <c r="AM14"/>
  <c r="AM17" s="1"/>
  <c r="AN10"/>
  <c r="AO10"/>
  <c r="AO14"/>
  <c r="AO17" s="1"/>
  <c r="AP10"/>
  <c r="AS10"/>
  <c r="AS14"/>
  <c r="AS17" s="1"/>
  <c r="AT10"/>
  <c r="AU10"/>
  <c r="AU14"/>
  <c r="AU17" s="1"/>
  <c r="AV10"/>
  <c r="AY10"/>
  <c r="AY14"/>
  <c r="AY17" s="1"/>
  <c r="AZ10"/>
  <c r="BA10"/>
  <c r="BA14"/>
  <c r="BA17" s="1"/>
  <c r="BB10"/>
  <c r="A12"/>
  <c r="C12"/>
  <c r="D12"/>
  <c r="E12"/>
  <c r="F12"/>
  <c r="I12"/>
  <c r="J12"/>
  <c r="K12"/>
  <c r="L12"/>
  <c r="O12"/>
  <c r="P12"/>
  <c r="Q12"/>
  <c r="R12"/>
  <c r="U12"/>
  <c r="V12"/>
  <c r="W12"/>
  <c r="X12"/>
  <c r="AA12"/>
  <c r="AA14" s="1"/>
  <c r="AB12"/>
  <c r="AB14" s="1"/>
  <c r="AB17" s="1"/>
  <c r="AC12"/>
  <c r="AC14" s="1"/>
  <c r="AC17" s="1"/>
  <c r="AD12"/>
  <c r="AD14" s="1"/>
  <c r="AD17" s="1"/>
  <c r="AG12"/>
  <c r="AH14"/>
  <c r="AH17" s="1"/>
  <c r="AJ14"/>
  <c r="AJ17" s="1"/>
  <c r="AN14"/>
  <c r="AN17" s="1"/>
  <c r="AP14"/>
  <c r="AP17" s="1"/>
  <c r="AT14"/>
  <c r="AT17" s="1"/>
  <c r="AV14"/>
  <c r="AV17" s="1"/>
  <c r="AZ14"/>
  <c r="AZ17" s="1"/>
  <c r="BB14"/>
  <c r="BB17" s="1"/>
  <c r="C15"/>
  <c r="D15"/>
  <c r="E15"/>
  <c r="F15"/>
  <c r="I15"/>
  <c r="J15"/>
  <c r="K15"/>
  <c r="L15"/>
  <c r="O15"/>
  <c r="P15"/>
  <c r="Q15"/>
  <c r="R15"/>
  <c r="U15"/>
  <c r="V15"/>
  <c r="W15"/>
  <c r="X15"/>
  <c r="C16"/>
  <c r="D16"/>
  <c r="E16"/>
  <c r="F16"/>
  <c r="I16"/>
  <c r="J16"/>
  <c r="K16"/>
  <c r="L16"/>
  <c r="O16"/>
  <c r="P16"/>
  <c r="Q16"/>
  <c r="R16"/>
  <c r="U16"/>
  <c r="V16"/>
  <c r="W16"/>
  <c r="X16"/>
  <c r="AA16"/>
  <c r="AG16"/>
  <c r="AH22"/>
  <c r="AN82" i="4" s="1"/>
  <c r="AI22" i="6"/>
  <c r="AO82" i="4" s="1"/>
  <c r="K29" i="6"/>
  <c r="O29"/>
  <c r="P29"/>
  <c r="Q29"/>
  <c r="U29"/>
  <c r="V29"/>
  <c r="W29"/>
  <c r="AA29"/>
  <c r="AB29"/>
  <c r="AC29"/>
  <c r="AG29"/>
  <c r="AH29"/>
  <c r="AI29"/>
  <c r="AM29"/>
  <c r="AN29"/>
  <c r="AO29"/>
  <c r="AS29"/>
  <c r="AT29"/>
  <c r="AU29"/>
  <c r="AY29"/>
  <c r="AZ29"/>
  <c r="G7" i="4"/>
  <c r="M7"/>
  <c r="S7"/>
  <c r="Y7"/>
  <c r="Y55" s="1"/>
  <c r="AE7"/>
  <c r="AK7"/>
  <c r="AQ7"/>
  <c r="AW7"/>
  <c r="BB7"/>
  <c r="G8"/>
  <c r="M8"/>
  <c r="S8"/>
  <c r="Y8"/>
  <c r="AE8"/>
  <c r="AK8"/>
  <c r="AQ8"/>
  <c r="AW8"/>
  <c r="BB8"/>
  <c r="G9"/>
  <c r="M9"/>
  <c r="S9"/>
  <c r="Y9"/>
  <c r="AE9"/>
  <c r="AK9"/>
  <c r="AQ9"/>
  <c r="AW9"/>
  <c r="BC9"/>
  <c r="BI9"/>
  <c r="G10"/>
  <c r="M10"/>
  <c r="S10"/>
  <c r="Y10"/>
  <c r="AE10"/>
  <c r="AK10"/>
  <c r="AQ10"/>
  <c r="AW10"/>
  <c r="BC10"/>
  <c r="BI10"/>
  <c r="G11"/>
  <c r="M11"/>
  <c r="S11"/>
  <c r="Y11"/>
  <c r="AE11"/>
  <c r="AK11"/>
  <c r="AQ11"/>
  <c r="AW11"/>
  <c r="BB11"/>
  <c r="BC11" s="1"/>
  <c r="G12"/>
  <c r="M12"/>
  <c r="S12"/>
  <c r="Y12"/>
  <c r="AE12"/>
  <c r="AK12"/>
  <c r="AQ12"/>
  <c r="AW12"/>
  <c r="BC12"/>
  <c r="BI12"/>
  <c r="G13"/>
  <c r="M13"/>
  <c r="S13"/>
  <c r="Y13"/>
  <c r="AE13"/>
  <c r="AK13"/>
  <c r="AQ13"/>
  <c r="AW13"/>
  <c r="BC13"/>
  <c r="C14"/>
  <c r="D14"/>
  <c r="E14"/>
  <c r="F14"/>
  <c r="I14"/>
  <c r="J14"/>
  <c r="K14"/>
  <c r="L14"/>
  <c r="L40" s="1"/>
  <c r="O14"/>
  <c r="P14"/>
  <c r="P17" s="1"/>
  <c r="P24" i="1" s="1"/>
  <c r="Q14" i="4"/>
  <c r="R14"/>
  <c r="R17" s="1"/>
  <c r="R24" i="1" s="1"/>
  <c r="U14" i="4"/>
  <c r="V14"/>
  <c r="W14"/>
  <c r="X14"/>
  <c r="AA14"/>
  <c r="AB14"/>
  <c r="AC14"/>
  <c r="AD14"/>
  <c r="AG14"/>
  <c r="AH14"/>
  <c r="AI14"/>
  <c r="AJ14"/>
  <c r="AM14"/>
  <c r="AN14"/>
  <c r="AO14"/>
  <c r="AP14"/>
  <c r="AP40" s="1"/>
  <c r="AS14"/>
  <c r="AT14"/>
  <c r="AU14"/>
  <c r="AV14"/>
  <c r="AY14"/>
  <c r="AZ14"/>
  <c r="AZ17" s="1"/>
  <c r="BA14"/>
  <c r="BE14"/>
  <c r="BF14"/>
  <c r="BG14"/>
  <c r="BG17" s="1"/>
  <c r="O16"/>
  <c r="S16" s="1"/>
  <c r="AA16"/>
  <c r="AA17" s="1"/>
  <c r="AA24" i="1" s="1"/>
  <c r="AB16" i="4"/>
  <c r="AB42" s="1"/>
  <c r="AC16"/>
  <c r="AC42" s="1"/>
  <c r="AD16"/>
  <c r="AG16"/>
  <c r="AG17" s="1"/>
  <c r="AG24" i="1" s="1"/>
  <c r="AH16" i="4"/>
  <c r="AH42" s="1"/>
  <c r="AI16"/>
  <c r="AJ16"/>
  <c r="AJ42" s="1"/>
  <c r="AM16"/>
  <c r="AM42" s="1"/>
  <c r="AN16"/>
  <c r="AO16"/>
  <c r="AP16"/>
  <c r="AS16"/>
  <c r="AT16"/>
  <c r="AU16"/>
  <c r="AU42" s="1"/>
  <c r="AV16"/>
  <c r="AV42" s="1"/>
  <c r="BC16"/>
  <c r="BI16"/>
  <c r="AS17"/>
  <c r="AY17"/>
  <c r="BF17"/>
  <c r="BF24" i="1" s="1"/>
  <c r="G32" i="4"/>
  <c r="G41" s="1"/>
  <c r="M32"/>
  <c r="S32"/>
  <c r="Y32"/>
  <c r="Y41" s="1"/>
  <c r="AE32"/>
  <c r="AK32"/>
  <c r="AQ32"/>
  <c r="AQ41" s="1"/>
  <c r="AW32"/>
  <c r="AW41" s="1"/>
  <c r="BC32"/>
  <c r="BC42" s="1"/>
  <c r="BI32"/>
  <c r="G33"/>
  <c r="M33"/>
  <c r="M43" s="1"/>
  <c r="S33"/>
  <c r="Y33"/>
  <c r="Y43" s="1"/>
  <c r="AE33"/>
  <c r="AK33"/>
  <c r="AK43" s="1"/>
  <c r="AQ33"/>
  <c r="AW33"/>
  <c r="BC33"/>
  <c r="BI33"/>
  <c r="G34"/>
  <c r="I34"/>
  <c r="S34"/>
  <c r="Y34"/>
  <c r="AE34"/>
  <c r="AK34"/>
  <c r="AQ34"/>
  <c r="AW34"/>
  <c r="BC34"/>
  <c r="BI34"/>
  <c r="G35"/>
  <c r="M35"/>
  <c r="S35"/>
  <c r="Y35"/>
  <c r="AE35"/>
  <c r="AK35"/>
  <c r="AQ35"/>
  <c r="AW35"/>
  <c r="BC35"/>
  <c r="AI11" i="7"/>
  <c r="BI35" i="4"/>
  <c r="AN11" i="7"/>
  <c r="C36" i="4"/>
  <c r="E36"/>
  <c r="J29" i="6" s="1"/>
  <c r="M36" i="4"/>
  <c r="S36"/>
  <c r="Y36"/>
  <c r="AE36"/>
  <c r="AK36"/>
  <c r="AD29" i="6" s="1"/>
  <c r="AQ36" i="4"/>
  <c r="AJ29" i="6" s="1"/>
  <c r="AW36" i="4"/>
  <c r="AP29" i="6" s="1"/>
  <c r="BC36" i="4"/>
  <c r="AV29" i="6" s="1"/>
  <c r="BI36" i="4"/>
  <c r="G37"/>
  <c r="M37"/>
  <c r="L29" i="6" s="1"/>
  <c r="S37" i="4"/>
  <c r="Y37"/>
  <c r="AE37"/>
  <c r="AK37"/>
  <c r="AQ37"/>
  <c r="AW37"/>
  <c r="BC37"/>
  <c r="BI37"/>
  <c r="C38"/>
  <c r="E38"/>
  <c r="M38"/>
  <c r="S38"/>
  <c r="Y38"/>
  <c r="AE38"/>
  <c r="AK38"/>
  <c r="AQ38"/>
  <c r="AW38"/>
  <c r="BC38"/>
  <c r="BI38"/>
  <c r="D39"/>
  <c r="F39"/>
  <c r="J39"/>
  <c r="K39"/>
  <c r="K40" s="1"/>
  <c r="L39"/>
  <c r="O39"/>
  <c r="P39"/>
  <c r="Q39"/>
  <c r="R39"/>
  <c r="U39"/>
  <c r="V39"/>
  <c r="W39"/>
  <c r="X39"/>
  <c r="AA39"/>
  <c r="AB39"/>
  <c r="AC39"/>
  <c r="AC40" s="1"/>
  <c r="AD39"/>
  <c r="AG39"/>
  <c r="AG40" s="1"/>
  <c r="AH39"/>
  <c r="AI39"/>
  <c r="AI40" s="1"/>
  <c r="AJ39"/>
  <c r="AM39"/>
  <c r="AM40" s="1"/>
  <c r="AN39"/>
  <c r="AO39"/>
  <c r="AP39"/>
  <c r="AS39"/>
  <c r="AT39"/>
  <c r="AU39"/>
  <c r="AV39"/>
  <c r="AY39"/>
  <c r="AZ39"/>
  <c r="BA39"/>
  <c r="BB39"/>
  <c r="BE39"/>
  <c r="BE40" s="1"/>
  <c r="BF39"/>
  <c r="BG39"/>
  <c r="BH39"/>
  <c r="BF19" i="6" s="1"/>
  <c r="BF26" s="1"/>
  <c r="X40" i="4"/>
  <c r="C41"/>
  <c r="D41"/>
  <c r="E41"/>
  <c r="F41"/>
  <c r="I41"/>
  <c r="J41"/>
  <c r="K41"/>
  <c r="L41"/>
  <c r="M41"/>
  <c r="P41"/>
  <c r="Q41"/>
  <c r="R41"/>
  <c r="U41"/>
  <c r="V41"/>
  <c r="W41"/>
  <c r="X41"/>
  <c r="AA41"/>
  <c r="AB41"/>
  <c r="AC41"/>
  <c r="AD41"/>
  <c r="AG41"/>
  <c r="AH41"/>
  <c r="AI41"/>
  <c r="AJ41"/>
  <c r="AM41"/>
  <c r="AN41"/>
  <c r="AO41"/>
  <c r="AP41"/>
  <c r="AS41"/>
  <c r="AT41"/>
  <c r="AU41"/>
  <c r="AV41"/>
  <c r="AY41"/>
  <c r="AZ41"/>
  <c r="BA41"/>
  <c r="BE41"/>
  <c r="BF41"/>
  <c r="AG42"/>
  <c r="AS42"/>
  <c r="AY42"/>
  <c r="AZ42"/>
  <c r="BA42"/>
  <c r="BB42"/>
  <c r="BE42"/>
  <c r="BF42"/>
  <c r="C43"/>
  <c r="D43"/>
  <c r="E43"/>
  <c r="F43"/>
  <c r="I43"/>
  <c r="J43"/>
  <c r="K43"/>
  <c r="L43"/>
  <c r="O43"/>
  <c r="P43"/>
  <c r="Q43"/>
  <c r="R43"/>
  <c r="U43"/>
  <c r="V43"/>
  <c r="W43"/>
  <c r="X43"/>
  <c r="AA43"/>
  <c r="AB43"/>
  <c r="AC43"/>
  <c r="AD43"/>
  <c r="AG43"/>
  <c r="AH43"/>
  <c r="AI43"/>
  <c r="AJ43"/>
  <c r="AM43"/>
  <c r="AN43"/>
  <c r="AO43"/>
  <c r="AP43"/>
  <c r="AS43"/>
  <c r="AT43"/>
  <c r="AU43"/>
  <c r="AV43"/>
  <c r="AY43"/>
  <c r="AZ43"/>
  <c r="BA43"/>
  <c r="BE43"/>
  <c r="BF43"/>
  <c r="C46"/>
  <c r="I46"/>
  <c r="L81" s="1"/>
  <c r="J46"/>
  <c r="K46"/>
  <c r="L46"/>
  <c r="Q81" s="1"/>
  <c r="S46"/>
  <c r="Y46"/>
  <c r="G47"/>
  <c r="G57" s="1"/>
  <c r="J47"/>
  <c r="K47"/>
  <c r="K57" s="1"/>
  <c r="S47"/>
  <c r="Y47"/>
  <c r="Y57" s="1"/>
  <c r="C48"/>
  <c r="D48"/>
  <c r="E48"/>
  <c r="F48"/>
  <c r="J48"/>
  <c r="K48"/>
  <c r="S48"/>
  <c r="Y48"/>
  <c r="C49"/>
  <c r="D49"/>
  <c r="E49"/>
  <c r="F49"/>
  <c r="I49"/>
  <c r="J49"/>
  <c r="K49"/>
  <c r="L49"/>
  <c r="S49"/>
  <c r="Y49"/>
  <c r="D50"/>
  <c r="F50"/>
  <c r="M50"/>
  <c r="S50"/>
  <c r="Y50"/>
  <c r="C51"/>
  <c r="D51"/>
  <c r="E51"/>
  <c r="F51"/>
  <c r="I51"/>
  <c r="J51"/>
  <c r="K51"/>
  <c r="L51"/>
  <c r="S51"/>
  <c r="Y51"/>
  <c r="G52"/>
  <c r="M52"/>
  <c r="S52"/>
  <c r="Y52"/>
  <c r="O53"/>
  <c r="O54" s="1"/>
  <c r="P53"/>
  <c r="Q53"/>
  <c r="R53"/>
  <c r="U53"/>
  <c r="V53"/>
  <c r="W53"/>
  <c r="X53"/>
  <c r="U54"/>
  <c r="D55"/>
  <c r="E55"/>
  <c r="F55"/>
  <c r="J55"/>
  <c r="O55"/>
  <c r="P55"/>
  <c r="Q55"/>
  <c r="R55"/>
  <c r="U55"/>
  <c r="V55"/>
  <c r="W55"/>
  <c r="X55"/>
  <c r="P56"/>
  <c r="Q56"/>
  <c r="R56"/>
  <c r="C57"/>
  <c r="D57"/>
  <c r="E57"/>
  <c r="F57"/>
  <c r="I57"/>
  <c r="L57"/>
  <c r="O57"/>
  <c r="P57"/>
  <c r="Q57"/>
  <c r="R57"/>
  <c r="U57"/>
  <c r="V57"/>
  <c r="W57"/>
  <c r="X57"/>
  <c r="G62"/>
  <c r="M62"/>
  <c r="S62"/>
  <c r="Y62"/>
  <c r="AE62"/>
  <c r="AK62"/>
  <c r="AJ81" s="1"/>
  <c r="AQ62"/>
  <c r="AP81"/>
  <c r="AW62"/>
  <c r="BC62"/>
  <c r="BB81" s="1"/>
  <c r="BI62"/>
  <c r="BH81" s="1"/>
  <c r="G63"/>
  <c r="M63"/>
  <c r="S63"/>
  <c r="Y63"/>
  <c r="AE63"/>
  <c r="AK63"/>
  <c r="AJ82"/>
  <c r="AQ63"/>
  <c r="AP82"/>
  <c r="AW63"/>
  <c r="BC63"/>
  <c r="BB82" s="1"/>
  <c r="BI63"/>
  <c r="G64"/>
  <c r="I64"/>
  <c r="L64"/>
  <c r="L48" s="1"/>
  <c r="L53" s="1"/>
  <c r="S64"/>
  <c r="Y64"/>
  <c r="AE64"/>
  <c r="AK64"/>
  <c r="AQ64"/>
  <c r="AW64"/>
  <c r="BC64"/>
  <c r="BI64"/>
  <c r="G65"/>
  <c r="M65"/>
  <c r="S65"/>
  <c r="Y65"/>
  <c r="AE65"/>
  <c r="AK65"/>
  <c r="AQ65"/>
  <c r="AW65"/>
  <c r="BC65"/>
  <c r="BI65"/>
  <c r="C66"/>
  <c r="E66"/>
  <c r="E50" s="1"/>
  <c r="E53" s="1"/>
  <c r="L66"/>
  <c r="M66" s="1"/>
  <c r="S66"/>
  <c r="Y66"/>
  <c r="AE66"/>
  <c r="AK66"/>
  <c r="AQ66"/>
  <c r="AW66"/>
  <c r="BC66"/>
  <c r="BI66"/>
  <c r="G67"/>
  <c r="M67"/>
  <c r="S67"/>
  <c r="Y67"/>
  <c r="AE67"/>
  <c r="AK67"/>
  <c r="AQ67"/>
  <c r="AW67"/>
  <c r="BC67"/>
  <c r="BI67"/>
  <c r="C68"/>
  <c r="E68"/>
  <c r="L68"/>
  <c r="M68" s="1"/>
  <c r="S68"/>
  <c r="Y68"/>
  <c r="AE68"/>
  <c r="AK68"/>
  <c r="AQ68"/>
  <c r="AW68"/>
  <c r="BC68"/>
  <c r="BI68"/>
  <c r="D69"/>
  <c r="F69"/>
  <c r="J69"/>
  <c r="K69"/>
  <c r="O69"/>
  <c r="P69"/>
  <c r="Q69"/>
  <c r="R69"/>
  <c r="U69"/>
  <c r="V69"/>
  <c r="W69"/>
  <c r="X69"/>
  <c r="AA69"/>
  <c r="AB69"/>
  <c r="AC69"/>
  <c r="AD69"/>
  <c r="AG69"/>
  <c r="AH69"/>
  <c r="AI69"/>
  <c r="AJ69"/>
  <c r="AM69"/>
  <c r="AN69"/>
  <c r="AO69"/>
  <c r="AP69"/>
  <c r="AS69"/>
  <c r="AT69"/>
  <c r="AU69"/>
  <c r="AV69"/>
  <c r="AY69"/>
  <c r="AZ69"/>
  <c r="BA69"/>
  <c r="BB69"/>
  <c r="BF69"/>
  <c r="BG69"/>
  <c r="BH69"/>
  <c r="C79"/>
  <c r="C32" i="1" s="1"/>
  <c r="D79" i="4"/>
  <c r="E79"/>
  <c r="E32" i="1" s="1"/>
  <c r="F79" i="4"/>
  <c r="I79"/>
  <c r="I32" i="1" s="1"/>
  <c r="J79" i="4"/>
  <c r="K79"/>
  <c r="K32" i="1" s="1"/>
  <c r="L79" i="4"/>
  <c r="O79"/>
  <c r="P79"/>
  <c r="Q79"/>
  <c r="R79"/>
  <c r="U79"/>
  <c r="V79"/>
  <c r="W79"/>
  <c r="X79"/>
  <c r="AA79"/>
  <c r="AB79"/>
  <c r="AC79"/>
  <c r="AD79"/>
  <c r="AG79"/>
  <c r="AH79"/>
  <c r="AI79"/>
  <c r="AJ79"/>
  <c r="AM79"/>
  <c r="AN79"/>
  <c r="AO79"/>
  <c r="AP79"/>
  <c r="AS79"/>
  <c r="AT79"/>
  <c r="AU79"/>
  <c r="AV79"/>
  <c r="AY79"/>
  <c r="AZ79"/>
  <c r="BA79"/>
  <c r="BB79"/>
  <c r="BE79"/>
  <c r="BG79"/>
  <c r="BH79"/>
  <c r="I81"/>
  <c r="R81"/>
  <c r="U81"/>
  <c r="V81"/>
  <c r="W81"/>
  <c r="X81"/>
  <c r="AM81"/>
  <c r="AN81"/>
  <c r="AO81"/>
  <c r="AS81"/>
  <c r="AT81"/>
  <c r="AU81"/>
  <c r="AY81"/>
  <c r="AZ81"/>
  <c r="BA81"/>
  <c r="F82"/>
  <c r="I82"/>
  <c r="J82"/>
  <c r="Q82"/>
  <c r="R82"/>
  <c r="U82"/>
  <c r="V82"/>
  <c r="W82"/>
  <c r="X82"/>
  <c r="AM82"/>
  <c r="AS82"/>
  <c r="AT82"/>
  <c r="AU82"/>
  <c r="AY82"/>
  <c r="AZ82"/>
  <c r="BA82"/>
  <c r="BE82"/>
  <c r="C7" i="3"/>
  <c r="D7"/>
  <c r="E7"/>
  <c r="F7"/>
  <c r="F12" s="1"/>
  <c r="I7"/>
  <c r="I12" s="1"/>
  <c r="I21" s="1"/>
  <c r="I26" s="1"/>
  <c r="J7"/>
  <c r="K7"/>
  <c r="L7"/>
  <c r="L12" s="1"/>
  <c r="L21" s="1"/>
  <c r="L26" s="1"/>
  <c r="S7"/>
  <c r="Y7"/>
  <c r="AA7"/>
  <c r="AB7"/>
  <c r="AB12" s="1"/>
  <c r="AB21" s="1"/>
  <c r="AB26" s="1"/>
  <c r="AC7"/>
  <c r="AC12" s="1"/>
  <c r="AC21" s="1"/>
  <c r="AC26" s="1"/>
  <c r="AD7"/>
  <c r="AD12" s="1"/>
  <c r="AD21" s="1"/>
  <c r="AD26" s="1"/>
  <c r="AK7"/>
  <c r="AQ7"/>
  <c r="AW7"/>
  <c r="AW12" s="1"/>
  <c r="BC7"/>
  <c r="C8"/>
  <c r="D8"/>
  <c r="D12" s="1"/>
  <c r="E8"/>
  <c r="E12" s="1"/>
  <c r="E21" s="1"/>
  <c r="E26" s="1"/>
  <c r="F8"/>
  <c r="I8"/>
  <c r="M8" s="1"/>
  <c r="J8"/>
  <c r="K8"/>
  <c r="L8"/>
  <c r="S8"/>
  <c r="Y8"/>
  <c r="AA8"/>
  <c r="AA12" s="1"/>
  <c r="AA21" s="1"/>
  <c r="AA26" s="1"/>
  <c r="AB8"/>
  <c r="AC8"/>
  <c r="AD8"/>
  <c r="AK8"/>
  <c r="AQ8"/>
  <c r="AW8"/>
  <c r="BC8"/>
  <c r="BI8"/>
  <c r="BI12"/>
  <c r="AE9"/>
  <c r="G11"/>
  <c r="M11"/>
  <c r="S11"/>
  <c r="Y11"/>
  <c r="AE11"/>
  <c r="AK11"/>
  <c r="AK12"/>
  <c r="AQ11"/>
  <c r="AW11"/>
  <c r="BC11"/>
  <c r="BI11"/>
  <c r="O12"/>
  <c r="P12"/>
  <c r="Q12"/>
  <c r="Q21" s="1"/>
  <c r="Q26" s="1"/>
  <c r="R12"/>
  <c r="U12"/>
  <c r="U21" s="1"/>
  <c r="U26" s="1"/>
  <c r="U33" s="1"/>
  <c r="V30" s="1"/>
  <c r="V12"/>
  <c r="W12"/>
  <c r="W21" s="1"/>
  <c r="W26" s="1"/>
  <c r="X12"/>
  <c r="AG12"/>
  <c r="AH12"/>
  <c r="AI12"/>
  <c r="AJ12"/>
  <c r="AM12"/>
  <c r="AM21" s="1"/>
  <c r="AM26" s="1"/>
  <c r="AN12"/>
  <c r="AO12"/>
  <c r="AO21" s="1"/>
  <c r="AO26" s="1"/>
  <c r="AP12"/>
  <c r="AS12"/>
  <c r="AT12"/>
  <c r="AU12"/>
  <c r="AV12"/>
  <c r="AY12"/>
  <c r="AZ12"/>
  <c r="BA12"/>
  <c r="BA21" s="1"/>
  <c r="BA26" s="1"/>
  <c r="BB12"/>
  <c r="BC12"/>
  <c r="BE12"/>
  <c r="BF12"/>
  <c r="BG12"/>
  <c r="Y14"/>
  <c r="AE14"/>
  <c r="AG14"/>
  <c r="AQ14"/>
  <c r="AW14"/>
  <c r="BC14"/>
  <c r="BI14"/>
  <c r="G15"/>
  <c r="M15"/>
  <c r="S15"/>
  <c r="Y15"/>
  <c r="AE15"/>
  <c r="AK15"/>
  <c r="AQ15"/>
  <c r="AW15"/>
  <c r="BA15"/>
  <c r="BC15"/>
  <c r="BI15"/>
  <c r="G16"/>
  <c r="M16"/>
  <c r="S16"/>
  <c r="Y16"/>
  <c r="AE16"/>
  <c r="AK16"/>
  <c r="AQ16"/>
  <c r="AW16"/>
  <c r="BC16"/>
  <c r="BI16"/>
  <c r="AW17"/>
  <c r="BC17"/>
  <c r="BI17"/>
  <c r="G18"/>
  <c r="M18"/>
  <c r="S18"/>
  <c r="U18"/>
  <c r="Y18" s="1"/>
  <c r="Y19" s="1"/>
  <c r="AE18"/>
  <c r="AE19"/>
  <c r="AK18"/>
  <c r="AQ18"/>
  <c r="AW18"/>
  <c r="AW19"/>
  <c r="BC18"/>
  <c r="BI18"/>
  <c r="C19"/>
  <c r="D19"/>
  <c r="E19"/>
  <c r="F19"/>
  <c r="I19"/>
  <c r="J19"/>
  <c r="K19"/>
  <c r="L19"/>
  <c r="O19"/>
  <c r="O21"/>
  <c r="P19"/>
  <c r="P21"/>
  <c r="P26" s="1"/>
  <c r="Q19"/>
  <c r="R19"/>
  <c r="R21"/>
  <c r="R26" s="1"/>
  <c r="U19"/>
  <c r="V19"/>
  <c r="V21"/>
  <c r="V26" s="1"/>
  <c r="V33" s="1"/>
  <c r="W30" s="1"/>
  <c r="W19"/>
  <c r="X19"/>
  <c r="X21"/>
  <c r="X26" s="1"/>
  <c r="AA19"/>
  <c r="AB19"/>
  <c r="AC19"/>
  <c r="AD19"/>
  <c r="AH19"/>
  <c r="AI19"/>
  <c r="AI21"/>
  <c r="AI26" s="1"/>
  <c r="AJ19"/>
  <c r="AJ21" s="1"/>
  <c r="AJ26" s="1"/>
  <c r="AM19"/>
  <c r="AN19"/>
  <c r="AO19"/>
  <c r="AP19"/>
  <c r="AS19"/>
  <c r="AS21"/>
  <c r="AS26" s="1"/>
  <c r="AT19"/>
  <c r="AT21" s="1"/>
  <c r="AT26" s="1"/>
  <c r="AU19"/>
  <c r="AU21"/>
  <c r="AU26" s="1"/>
  <c r="AV19"/>
  <c r="AV21" s="1"/>
  <c r="AV26" s="1"/>
  <c r="AY19"/>
  <c r="AY21"/>
  <c r="AY26" s="1"/>
  <c r="AZ19"/>
  <c r="AZ21" s="1"/>
  <c r="AZ26" s="1"/>
  <c r="BA19"/>
  <c r="BB19"/>
  <c r="BB21"/>
  <c r="BB26" s="1"/>
  <c r="BE19"/>
  <c r="BE21" s="1"/>
  <c r="BE26" s="1"/>
  <c r="BF19"/>
  <c r="BG19"/>
  <c r="BG21" s="1"/>
  <c r="BG26" s="1"/>
  <c r="BH19"/>
  <c r="G23"/>
  <c r="M23"/>
  <c r="S23"/>
  <c r="Y23"/>
  <c r="AE23"/>
  <c r="AK23"/>
  <c r="AQ23"/>
  <c r="AW23"/>
  <c r="BC23"/>
  <c r="BI23"/>
  <c r="G25"/>
  <c r="M25"/>
  <c r="S25"/>
  <c r="Y25"/>
  <c r="AE25"/>
  <c r="AK25"/>
  <c r="AQ25"/>
  <c r="AW25"/>
  <c r="BC25"/>
  <c r="BI25"/>
  <c r="G30"/>
  <c r="Y30"/>
  <c r="AE31"/>
  <c r="G32"/>
  <c r="M32"/>
  <c r="S32"/>
  <c r="Y32"/>
  <c r="AE32"/>
  <c r="AK32"/>
  <c r="AQ32"/>
  <c r="AW32"/>
  <c r="BC32"/>
  <c r="BI32"/>
  <c r="C9" i="2"/>
  <c r="D9"/>
  <c r="E9"/>
  <c r="F9"/>
  <c r="H9"/>
  <c r="I9"/>
  <c r="J9"/>
  <c r="K9"/>
  <c r="M9"/>
  <c r="N9"/>
  <c r="O9"/>
  <c r="P9"/>
  <c r="R9"/>
  <c r="S9"/>
  <c r="T9"/>
  <c r="U9"/>
  <c r="W9"/>
  <c r="X9"/>
  <c r="Y9"/>
  <c r="Z9"/>
  <c r="AB9"/>
  <c r="AC9"/>
  <c r="AD9"/>
  <c r="AE9"/>
  <c r="AG9"/>
  <c r="AH9"/>
  <c r="AI9"/>
  <c r="AJ9"/>
  <c r="AL9"/>
  <c r="AM9"/>
  <c r="AN9"/>
  <c r="AO9"/>
  <c r="AQ9"/>
  <c r="AR9"/>
  <c r="AS9"/>
  <c r="AT9"/>
  <c r="AV9"/>
  <c r="AW9"/>
  <c r="AX9"/>
  <c r="AY9"/>
  <c r="C16"/>
  <c r="C18" s="1"/>
  <c r="C30" i="1" s="1"/>
  <c r="D16" i="2"/>
  <c r="E16"/>
  <c r="F16"/>
  <c r="H16"/>
  <c r="H18" s="1"/>
  <c r="I30" i="1" s="1"/>
  <c r="I16" i="2"/>
  <c r="J16"/>
  <c r="K16"/>
  <c r="M16"/>
  <c r="M18" s="1"/>
  <c r="N16"/>
  <c r="O16"/>
  <c r="O18" s="1"/>
  <c r="P16"/>
  <c r="R16"/>
  <c r="R18" s="1"/>
  <c r="S16"/>
  <c r="T16"/>
  <c r="T18" s="1"/>
  <c r="U16"/>
  <c r="W16"/>
  <c r="W18" s="1"/>
  <c r="X16"/>
  <c r="Y16"/>
  <c r="Y18" s="1"/>
  <c r="Z16"/>
  <c r="AB16"/>
  <c r="AB18" s="1"/>
  <c r="AC16"/>
  <c r="AD16"/>
  <c r="AD18" s="1"/>
  <c r="AE16"/>
  <c r="AG16"/>
  <c r="AG18" s="1"/>
  <c r="AH16"/>
  <c r="AI16"/>
  <c r="AI18" s="1"/>
  <c r="AJ16"/>
  <c r="AL16"/>
  <c r="AL18" s="1"/>
  <c r="AM16"/>
  <c r="AN16"/>
  <c r="AN18" s="1"/>
  <c r="AO16"/>
  <c r="AQ16"/>
  <c r="AQ18" s="1"/>
  <c r="AR16"/>
  <c r="AS16"/>
  <c r="AS18" s="1"/>
  <c r="AT16"/>
  <c r="AV16"/>
  <c r="AV18" s="1"/>
  <c r="AW16"/>
  <c r="AX16"/>
  <c r="AX18" s="1"/>
  <c r="AY16"/>
  <c r="D18"/>
  <c r="E18"/>
  <c r="E30" i="1" s="1"/>
  <c r="F18" i="2"/>
  <c r="F30" i="1" s="1"/>
  <c r="I18" i="2"/>
  <c r="J18"/>
  <c r="K30" i="1" s="1"/>
  <c r="K18" i="2"/>
  <c r="L30" i="1" s="1"/>
  <c r="N18" i="2"/>
  <c r="P18"/>
  <c r="S18"/>
  <c r="U18"/>
  <c r="X18"/>
  <c r="Z18"/>
  <c r="AC18"/>
  <c r="AE18"/>
  <c r="AH18"/>
  <c r="AJ18"/>
  <c r="AM18"/>
  <c r="AO18"/>
  <c r="AR18"/>
  <c r="AT18"/>
  <c r="AY18"/>
  <c r="AB21"/>
  <c r="AB23"/>
  <c r="AB28" s="1"/>
  <c r="W23"/>
  <c r="X23"/>
  <c r="Y23"/>
  <c r="Y28" s="1"/>
  <c r="Z23"/>
  <c r="Z28"/>
  <c r="AC23"/>
  <c r="AD23"/>
  <c r="AD28" s="1"/>
  <c r="AE23"/>
  <c r="AE28" s="1"/>
  <c r="AG23"/>
  <c r="AG28" s="1"/>
  <c r="AH23"/>
  <c r="AH28" s="1"/>
  <c r="AI23"/>
  <c r="AI28" s="1"/>
  <c r="AJ23"/>
  <c r="AL23"/>
  <c r="AL28"/>
  <c r="AM23"/>
  <c r="AM28"/>
  <c r="AN23"/>
  <c r="AN28"/>
  <c r="AO23"/>
  <c r="AQ23"/>
  <c r="AQ28" s="1"/>
  <c r="AR23"/>
  <c r="AR28" s="1"/>
  <c r="AS23"/>
  <c r="AT23"/>
  <c r="AV23"/>
  <c r="AV28" s="1"/>
  <c r="AW23"/>
  <c r="AW28" s="1"/>
  <c r="AX23"/>
  <c r="AX28"/>
  <c r="AY23"/>
  <c r="AY28"/>
  <c r="W24"/>
  <c r="W28"/>
  <c r="X24"/>
  <c r="Y24"/>
  <c r="AB24"/>
  <c r="AC24"/>
  <c r="AC28"/>
  <c r="AS24"/>
  <c r="AS28"/>
  <c r="AT24"/>
  <c r="AW24"/>
  <c r="AO27"/>
  <c r="AO28" s="1"/>
  <c r="AT27"/>
  <c r="AW27"/>
  <c r="M28"/>
  <c r="N28"/>
  <c r="O28"/>
  <c r="P28"/>
  <c r="R28"/>
  <c r="S28"/>
  <c r="T28"/>
  <c r="U28"/>
  <c r="X28"/>
  <c r="AJ28"/>
  <c r="C37"/>
  <c r="R37"/>
  <c r="W37"/>
  <c r="R43"/>
  <c r="S35"/>
  <c r="S37" s="1"/>
  <c r="S43" s="1"/>
  <c r="T35" s="1"/>
  <c r="T37" s="1"/>
  <c r="T43" s="1"/>
  <c r="U35" s="1"/>
  <c r="U37" s="1"/>
  <c r="U43" s="1"/>
  <c r="G5" i="1"/>
  <c r="M5"/>
  <c r="S5"/>
  <c r="W5"/>
  <c r="Y5" s="1"/>
  <c r="AE5"/>
  <c r="AK5"/>
  <c r="AW5"/>
  <c r="BC5"/>
  <c r="BI5"/>
  <c r="G7"/>
  <c r="M7"/>
  <c r="S7"/>
  <c r="AE7"/>
  <c r="AK7"/>
  <c r="AQ7"/>
  <c r="AW7"/>
  <c r="BC7"/>
  <c r="BI7"/>
  <c r="BI11" s="1"/>
  <c r="BI14" s="1"/>
  <c r="BI16" s="1"/>
  <c r="BI19" s="1"/>
  <c r="BI21" s="1"/>
  <c r="C8"/>
  <c r="C11"/>
  <c r="D8"/>
  <c r="D11"/>
  <c r="D14" s="1"/>
  <c r="D16" s="1"/>
  <c r="D19" s="1"/>
  <c r="D21" s="1"/>
  <c r="D38" i="2" s="1"/>
  <c r="E8" i="1"/>
  <c r="E11" s="1"/>
  <c r="E14" s="1"/>
  <c r="E16" s="1"/>
  <c r="E19" s="1"/>
  <c r="E21" s="1"/>
  <c r="E38" i="2" s="1"/>
  <c r="F8" i="1"/>
  <c r="F11"/>
  <c r="I8"/>
  <c r="J8"/>
  <c r="K8"/>
  <c r="K11"/>
  <c r="L8"/>
  <c r="O8"/>
  <c r="O11" s="1"/>
  <c r="P8"/>
  <c r="P11"/>
  <c r="P14" s="1"/>
  <c r="P16" s="1"/>
  <c r="P19" s="1"/>
  <c r="P21" s="1"/>
  <c r="Q8"/>
  <c r="R8"/>
  <c r="R11" s="1"/>
  <c r="R14" s="1"/>
  <c r="R16" s="1"/>
  <c r="U8"/>
  <c r="U11" s="1"/>
  <c r="U14" s="1"/>
  <c r="U16" s="1"/>
  <c r="U19" s="1"/>
  <c r="U21" s="1"/>
  <c r="V8"/>
  <c r="V11"/>
  <c r="V14"/>
  <c r="V16" s="1"/>
  <c r="V19" s="1"/>
  <c r="V21" s="1"/>
  <c r="W8"/>
  <c r="Y8" s="1"/>
  <c r="X8"/>
  <c r="X11"/>
  <c r="X14" s="1"/>
  <c r="X16" s="1"/>
  <c r="X19" s="1"/>
  <c r="X21" s="1"/>
  <c r="AE8"/>
  <c r="AK8"/>
  <c r="AQ8"/>
  <c r="AW8"/>
  <c r="BC8"/>
  <c r="BI8"/>
  <c r="Y9"/>
  <c r="AE9"/>
  <c r="AK9"/>
  <c r="AQ9"/>
  <c r="AW9"/>
  <c r="BC9"/>
  <c r="BC11" s="1"/>
  <c r="BI9"/>
  <c r="G10"/>
  <c r="L10"/>
  <c r="M10"/>
  <c r="S10"/>
  <c r="Y10"/>
  <c r="AE10"/>
  <c r="AE11"/>
  <c r="AE14" s="1"/>
  <c r="AE16" s="1"/>
  <c r="AE19" s="1"/>
  <c r="AE21" s="1"/>
  <c r="AK10"/>
  <c r="AQ10"/>
  <c r="AQ11" s="1"/>
  <c r="AQ14" s="1"/>
  <c r="AQ16" s="1"/>
  <c r="AQ19" s="1"/>
  <c r="AQ21" s="1"/>
  <c r="AW10"/>
  <c r="BC10"/>
  <c r="BI10"/>
  <c r="I11"/>
  <c r="Q11"/>
  <c r="AA11"/>
  <c r="AB11"/>
  <c r="AB14"/>
  <c r="AB16" s="1"/>
  <c r="AB19" s="1"/>
  <c r="AC11"/>
  <c r="AD11"/>
  <c r="AD14" s="1"/>
  <c r="AD16" s="1"/>
  <c r="AD19" s="1"/>
  <c r="AG11"/>
  <c r="AH11"/>
  <c r="AH14" s="1"/>
  <c r="AH16" s="1"/>
  <c r="AH19" s="1"/>
  <c r="AH21" s="1"/>
  <c r="AI11"/>
  <c r="AJ11"/>
  <c r="AJ14" s="1"/>
  <c r="AJ16" s="1"/>
  <c r="AJ19" s="1"/>
  <c r="AJ21" s="1"/>
  <c r="AM11"/>
  <c r="AN11"/>
  <c r="AN14" s="1"/>
  <c r="AN16" s="1"/>
  <c r="AN19" s="1"/>
  <c r="AN21" s="1"/>
  <c r="AO11"/>
  <c r="AP11"/>
  <c r="AP14"/>
  <c r="AP16" s="1"/>
  <c r="AP19" s="1"/>
  <c r="AP21" s="1"/>
  <c r="AS11"/>
  <c r="AS14" s="1"/>
  <c r="AS16" s="1"/>
  <c r="AS19" s="1"/>
  <c r="AS21" s="1"/>
  <c r="AT11"/>
  <c r="AT14"/>
  <c r="AT16" s="1"/>
  <c r="AT19" s="1"/>
  <c r="AT21" s="1"/>
  <c r="AU11"/>
  <c r="AU14" s="1"/>
  <c r="AU16" s="1"/>
  <c r="AU19" s="1"/>
  <c r="AU21" s="1"/>
  <c r="AV11"/>
  <c r="AV14"/>
  <c r="AV16" s="1"/>
  <c r="AV19" s="1"/>
  <c r="AV21" s="1"/>
  <c r="AY11"/>
  <c r="AY14" s="1"/>
  <c r="AY16" s="1"/>
  <c r="AY19" s="1"/>
  <c r="AY21" s="1"/>
  <c r="AZ11"/>
  <c r="AZ14"/>
  <c r="AZ16" s="1"/>
  <c r="AZ19" s="1"/>
  <c r="AZ21" s="1"/>
  <c r="BA11"/>
  <c r="BA14" s="1"/>
  <c r="BA16" s="1"/>
  <c r="BA19" s="1"/>
  <c r="BA21" s="1"/>
  <c r="BB11"/>
  <c r="BB14"/>
  <c r="BB16" s="1"/>
  <c r="BB19" s="1"/>
  <c r="BB21" s="1"/>
  <c r="BE11"/>
  <c r="BE14" s="1"/>
  <c r="BE16" s="1"/>
  <c r="BE19" s="1"/>
  <c r="BE21" s="1"/>
  <c r="BF11"/>
  <c r="BG11"/>
  <c r="BG14" s="1"/>
  <c r="BG16" s="1"/>
  <c r="BG19" s="1"/>
  <c r="BG21" s="1"/>
  <c r="BH11"/>
  <c r="BH14"/>
  <c r="BH16" s="1"/>
  <c r="BH19" s="1"/>
  <c r="BH21" s="1"/>
  <c r="C12"/>
  <c r="D12"/>
  <c r="E12"/>
  <c r="F12"/>
  <c r="F14"/>
  <c r="I12"/>
  <c r="J12"/>
  <c r="K12"/>
  <c r="K14"/>
  <c r="K16" s="1"/>
  <c r="K19" s="1"/>
  <c r="K21" s="1"/>
  <c r="J38" i="2" s="1"/>
  <c r="L12" i="1"/>
  <c r="M12"/>
  <c r="O12"/>
  <c r="P12"/>
  <c r="Q12"/>
  <c r="Q14"/>
  <c r="Q16" s="1"/>
  <c r="Q19" s="1"/>
  <c r="Q21" s="1"/>
  <c r="R12"/>
  <c r="Y12"/>
  <c r="AE12"/>
  <c r="AK12"/>
  <c r="AQ12"/>
  <c r="AW12"/>
  <c r="BC12"/>
  <c r="BI12"/>
  <c r="G13"/>
  <c r="L13"/>
  <c r="M13" s="1"/>
  <c r="S13"/>
  <c r="Y13"/>
  <c r="AE13"/>
  <c r="AK13"/>
  <c r="AQ13"/>
  <c r="AW13"/>
  <c r="BC13"/>
  <c r="BI13"/>
  <c r="AA14"/>
  <c r="AA16" s="1"/>
  <c r="AA19" s="1"/>
  <c r="AC14"/>
  <c r="AC16"/>
  <c r="AC19" s="1"/>
  <c r="AG14"/>
  <c r="AG16" s="1"/>
  <c r="AG19" s="1"/>
  <c r="AG21" s="1"/>
  <c r="AI14"/>
  <c r="AI16" s="1"/>
  <c r="AI19" s="1"/>
  <c r="AI21" s="1"/>
  <c r="AM14"/>
  <c r="AM16" s="1"/>
  <c r="AM19" s="1"/>
  <c r="AM21" s="1"/>
  <c r="AO14"/>
  <c r="BF14"/>
  <c r="BF16"/>
  <c r="BF19" s="1"/>
  <c r="BF21" s="1"/>
  <c r="G15"/>
  <c r="M15"/>
  <c r="S15"/>
  <c r="Y15"/>
  <c r="AE15"/>
  <c r="AK15"/>
  <c r="AQ15"/>
  <c r="AW15"/>
  <c r="BC15"/>
  <c r="BI15"/>
  <c r="AO16"/>
  <c r="AO19" s="1"/>
  <c r="AO21" s="1"/>
  <c r="AE17"/>
  <c r="AK17"/>
  <c r="AQ17"/>
  <c r="AW17"/>
  <c r="BC17"/>
  <c r="BI17"/>
  <c r="G18"/>
  <c r="M18"/>
  <c r="S18"/>
  <c r="Y18"/>
  <c r="AE18"/>
  <c r="AK18"/>
  <c r="AQ18"/>
  <c r="AW18"/>
  <c r="BC18"/>
  <c r="BI18"/>
  <c r="G20"/>
  <c r="M20"/>
  <c r="S20"/>
  <c r="Y20"/>
  <c r="AE20"/>
  <c r="AK20"/>
  <c r="AQ20"/>
  <c r="AW20"/>
  <c r="BC20"/>
  <c r="BI20"/>
  <c r="AY24"/>
  <c r="D30"/>
  <c r="J30"/>
  <c r="D32"/>
  <c r="F32"/>
  <c r="J32"/>
  <c r="L32"/>
  <c r="G36"/>
  <c r="M36"/>
  <c r="S36"/>
  <c r="Y36"/>
  <c r="AE36"/>
  <c r="AK36"/>
  <c r="AQ36"/>
  <c r="AW36"/>
  <c r="BC36"/>
  <c r="G37"/>
  <c r="M37"/>
  <c r="S37"/>
  <c r="Y37"/>
  <c r="AE37"/>
  <c r="AK37"/>
  <c r="AQ37"/>
  <c r="AW37"/>
  <c r="BC37"/>
  <c r="G43"/>
  <c r="M43"/>
  <c r="S43"/>
  <c r="Y43"/>
  <c r="AE43"/>
  <c r="AK43"/>
  <c r="AQ43"/>
  <c r="AW43"/>
  <c r="BC43"/>
  <c r="G44"/>
  <c r="M44"/>
  <c r="S44"/>
  <c r="Y44"/>
  <c r="AE44"/>
  <c r="AK44"/>
  <c r="AQ44"/>
  <c r="AW44"/>
  <c r="BC44"/>
  <c r="BI44"/>
  <c r="AW18" i="2"/>
  <c r="BF80" i="4"/>
  <c r="G51"/>
  <c r="BG80"/>
  <c r="G48"/>
  <c r="I29" i="6"/>
  <c r="BH42" i="4"/>
  <c r="L69"/>
  <c r="E69"/>
  <c r="BA19" i="6"/>
  <c r="BA26" s="1"/>
  <c r="AH19"/>
  <c r="AH26" s="1"/>
  <c r="AC19"/>
  <c r="AC26" s="1"/>
  <c r="W19"/>
  <c r="W26" s="1"/>
  <c r="U19"/>
  <c r="U26" s="1"/>
  <c r="P19"/>
  <c r="P26" s="1"/>
  <c r="AA19"/>
  <c r="AA26" s="1"/>
  <c r="V19"/>
  <c r="V26" s="1"/>
  <c r="O19"/>
  <c r="O26" s="1"/>
  <c r="AS19"/>
  <c r="AS26" s="1"/>
  <c r="AG19"/>
  <c r="AG26" s="1"/>
  <c r="AM19"/>
  <c r="AM26" s="1"/>
  <c r="AC12" i="7"/>
  <c r="AA12"/>
  <c r="W12"/>
  <c r="T12"/>
  <c r="S12"/>
  <c r="Q12"/>
  <c r="N12"/>
  <c r="H12"/>
  <c r="E12"/>
  <c r="D12"/>
  <c r="B12"/>
  <c r="AF12"/>
  <c r="AB12"/>
  <c r="Y12"/>
  <c r="X12"/>
  <c r="V12"/>
  <c r="R12"/>
  <c r="O12"/>
  <c r="J12"/>
  <c r="G12"/>
  <c r="C12"/>
  <c r="M51" i="4"/>
  <c r="M46"/>
  <c r="M55" s="1"/>
  <c r="G68"/>
  <c r="M49"/>
  <c r="G49"/>
  <c r="M47"/>
  <c r="AW16"/>
  <c r="AW42" s="1"/>
  <c r="BH12" i="3"/>
  <c r="BH21" s="1"/>
  <c r="BH26" s="1"/>
  <c r="BI36" i="1"/>
  <c r="BH43" i="4"/>
  <c r="BI8"/>
  <c r="BI7"/>
  <c r="BI14" s="1"/>
  <c r="AN12" i="7" s="1"/>
  <c r="BH14" i="4"/>
  <c r="AR12" i="7" s="1"/>
  <c r="BH41" i="4"/>
  <c r="S39"/>
  <c r="R19" i="6" s="1"/>
  <c r="R26" s="1"/>
  <c r="E39" i="4"/>
  <c r="O17"/>
  <c r="O24" i="1" s="1"/>
  <c r="BI11" i="4"/>
  <c r="BH40"/>
  <c r="BI41"/>
  <c r="AN19" i="6"/>
  <c r="AN26" s="1"/>
  <c r="G36" i="4"/>
  <c r="F29" i="6" s="1"/>
  <c r="G19" i="3"/>
  <c r="R80" i="4"/>
  <c r="J53"/>
  <c r="J54" s="1"/>
  <c r="D53"/>
  <c r="D54" s="1"/>
  <c r="BC14" i="1"/>
  <c r="BC16" s="1"/>
  <c r="BC19"/>
  <c r="BC21" s="1"/>
  <c r="F16"/>
  <c r="F19" s="1"/>
  <c r="F21"/>
  <c r="F38" i="2" s="1"/>
  <c r="Y14" i="4"/>
  <c r="L11" i="1"/>
  <c r="BE80" i="4"/>
  <c r="Y53"/>
  <c r="AJ17"/>
  <c r="AJ24" i="1" s="1"/>
  <c r="G14" i="4"/>
  <c r="BC69"/>
  <c r="BB80" s="1"/>
  <c r="S69"/>
  <c r="F53"/>
  <c r="F54" s="1"/>
  <c r="K53"/>
  <c r="AY80"/>
  <c r="BA18" i="2"/>
  <c r="BB18"/>
  <c r="BK40" i="4"/>
  <c r="BO11" i="1"/>
  <c r="BO14"/>
  <c r="BO16" s="1"/>
  <c r="BO19"/>
  <c r="BO21" s="1"/>
  <c r="BL17" i="4"/>
  <c r="BO19" i="3"/>
  <c r="BK17" i="4"/>
  <c r="BG14" i="6"/>
  <c r="BG17"/>
  <c r="AZ19"/>
  <c r="AZ26" s="1"/>
  <c r="BU14" i="4"/>
  <c r="AX12" i="7" s="1"/>
  <c r="BQ17" i="4"/>
  <c r="BN17"/>
  <c r="BN26" s="1"/>
  <c r="BN40"/>
  <c r="BN24" i="1"/>
  <c r="BG28" i="2"/>
  <c r="BS17" i="4"/>
  <c r="BS26" s="1"/>
  <c r="S53"/>
  <c r="BG19" i="6"/>
  <c r="BG26" s="1"/>
  <c r="AB19"/>
  <c r="AB26" s="1"/>
  <c r="BK19"/>
  <c r="BK26" s="1"/>
  <c r="BS5" i="1"/>
  <c r="BR40" i="4"/>
  <c r="BQ7" i="1"/>
  <c r="BQ11" s="1"/>
  <c r="BQ14" s="1"/>
  <c r="BQ16" s="1"/>
  <c r="BQ19" s="1"/>
  <c r="BR5"/>
  <c r="BT40" i="4"/>
  <c r="BT17"/>
  <c r="I14" i="1"/>
  <c r="I16" s="1"/>
  <c r="I19" s="1"/>
  <c r="I21" s="1"/>
  <c r="H38" i="2" s="1"/>
  <c r="J11" i="1"/>
  <c r="J14"/>
  <c r="J16" s="1"/>
  <c r="J19" s="1"/>
  <c r="J21" s="1"/>
  <c r="I38" i="2" s="1"/>
  <c r="M8" i="1"/>
  <c r="C39" i="4"/>
  <c r="G38"/>
  <c r="M34"/>
  <c r="M39" s="1"/>
  <c r="L19" i="6" s="1"/>
  <c r="L26" s="1"/>
  <c r="I39" i="4"/>
  <c r="K19" i="6" s="1"/>
  <c r="K26" s="1"/>
  <c r="AZ24" i="1"/>
  <c r="AT17" i="4"/>
  <c r="AT24" i="1" s="1"/>
  <c r="AT42" i="4"/>
  <c r="AI42"/>
  <c r="AK16"/>
  <c r="AK42" s="1"/>
  <c r="AD42"/>
  <c r="AE16"/>
  <c r="AE42" s="1"/>
  <c r="BE17"/>
  <c r="BA17"/>
  <c r="BA24" i="1" s="1"/>
  <c r="AH12" i="7"/>
  <c r="BM17" i="4"/>
  <c r="BR17"/>
  <c r="AW12" i="7"/>
  <c r="BU41" i="4"/>
  <c r="BU42"/>
  <c r="AM80"/>
  <c r="I48"/>
  <c r="I53" s="1"/>
  <c r="I69"/>
  <c r="M64"/>
  <c r="AV82"/>
  <c r="W54"/>
  <c r="W80"/>
  <c r="BQ80"/>
  <c r="BL80"/>
  <c r="BD18" i="2"/>
  <c r="BI18"/>
  <c r="BT45" i="1"/>
  <c r="AV12" i="7"/>
  <c r="BL19" i="6"/>
  <c r="BL26" s="1"/>
  <c r="BU39" i="4"/>
  <c r="BN19" i="6" s="1"/>
  <c r="BN26" s="1"/>
  <c r="AU12" i="7"/>
  <c r="BM40" i="4"/>
  <c r="BO41"/>
  <c r="BO43"/>
  <c r="AT40"/>
  <c r="R19" i="1"/>
  <c r="R21" s="1"/>
  <c r="AS80" i="4"/>
  <c r="AE69"/>
  <c r="BM19" i="6"/>
  <c r="BM26" s="1"/>
  <c r="J57" i="4"/>
  <c r="K82"/>
  <c r="O82"/>
  <c r="K81"/>
  <c r="O81"/>
  <c r="W40"/>
  <c r="W7" i="1"/>
  <c r="Y7" s="1"/>
  <c r="AO17" i="4"/>
  <c r="AO24" i="1" s="1"/>
  <c r="AO42" i="4"/>
  <c r="AG12" i="7"/>
  <c r="AZ40" i="4"/>
  <c r="AU17"/>
  <c r="AU24" i="1" s="1"/>
  <c r="AU40" i="4"/>
  <c r="AN5" i="1"/>
  <c r="AQ5" s="1"/>
  <c r="BQ45"/>
  <c r="BK14" i="6"/>
  <c r="BK17" s="1"/>
  <c r="BM14"/>
  <c r="BM17" s="1"/>
  <c r="C14" i="1"/>
  <c r="C16" s="1"/>
  <c r="C19"/>
  <c r="C21" s="1"/>
  <c r="C38" i="2" s="1"/>
  <c r="C43" s="1"/>
  <c r="BC19" i="3"/>
  <c r="O26"/>
  <c r="AI17" i="4"/>
  <c r="AI24" i="1" s="1"/>
  <c r="AD17" i="4"/>
  <c r="AD24" i="1" s="1"/>
  <c r="AG14" i="6"/>
  <c r="AG17" s="1"/>
  <c r="BE24" i="1"/>
  <c r="I40" i="4"/>
  <c r="AV13" i="7"/>
  <c r="CA7" i="3"/>
  <c r="CA12"/>
  <c r="CA21" s="1"/>
  <c r="CA26" s="1"/>
  <c r="BW21"/>
  <c r="BW26"/>
  <c r="BW36" i="1"/>
  <c r="BX21" i="3"/>
  <c r="BX26" s="1"/>
  <c r="J12"/>
  <c r="J21" s="1"/>
  <c r="J26" s="1"/>
  <c r="BY36" i="1"/>
  <c r="BN81" i="4"/>
  <c r="BQ40"/>
  <c r="BW17"/>
  <c r="BL14" i="6"/>
  <c r="BL17"/>
  <c r="BX40" i="4"/>
  <c r="C12" i="3"/>
  <c r="C21" s="1"/>
  <c r="C26" s="1"/>
  <c r="C33" s="1"/>
  <c r="D30" s="1"/>
  <c r="BP18" i="2"/>
  <c r="CG32" i="4"/>
  <c r="CG42" s="1"/>
  <c r="CC39"/>
  <c r="CC7" i="1" s="1"/>
  <c r="CC41" i="4"/>
  <c r="BW14" i="6"/>
  <c r="BW17" s="1"/>
  <c r="CF21" i="3"/>
  <c r="CF26" s="1"/>
  <c r="CG12"/>
  <c r="CG21" s="1"/>
  <c r="CG26" s="1"/>
  <c r="CG69" i="4"/>
  <c r="CF39"/>
  <c r="CE19" i="6" s="1"/>
  <c r="CE26" s="1"/>
  <c r="CF42" i="4"/>
  <c r="CG9" i="1"/>
  <c r="AZ13" i="7"/>
  <c r="AQ39" i="4"/>
  <c r="BB29" i="6"/>
  <c r="BE12" i="7"/>
  <c r="BY17" i="4"/>
  <c r="BX14" i="6"/>
  <c r="BX17"/>
  <c r="CE5" i="1"/>
  <c r="CM43" i="4"/>
  <c r="CM39"/>
  <c r="CI40"/>
  <c r="CI17"/>
  <c r="AJ19" i="6"/>
  <c r="AJ26" s="1"/>
  <c r="CM69" i="4"/>
  <c r="CM14"/>
  <c r="BM12" i="7" s="1"/>
  <c r="BK80" i="4"/>
  <c r="CC32" i="1"/>
  <c r="CD32"/>
  <c r="BT32"/>
  <c r="CJ21" i="3"/>
  <c r="CJ26" s="1"/>
  <c r="Y38" i="2"/>
  <c r="AC21" i="1"/>
  <c r="X38" i="2"/>
  <c r="AB21" i="1"/>
  <c r="BS24"/>
  <c r="AW13" i="7"/>
  <c r="K54" i="4"/>
  <c r="BI43"/>
  <c r="AT80"/>
  <c r="AU80"/>
  <c r="C50"/>
  <c r="G50" s="1"/>
  <c r="C69"/>
  <c r="G66"/>
  <c r="G69" s="1"/>
  <c r="BH82"/>
  <c r="BI69"/>
  <c r="BH80" s="1"/>
  <c r="R54"/>
  <c r="V80"/>
  <c r="P54"/>
  <c r="U80"/>
  <c r="G46"/>
  <c r="G55" s="1"/>
  <c r="C55"/>
  <c r="F81"/>
  <c r="BE19" i="6"/>
  <c r="BE26" s="1"/>
  <c r="BG40" i="4"/>
  <c r="BA40"/>
  <c r="AU19" i="6"/>
  <c r="AU26" s="1"/>
  <c r="AP17" i="4"/>
  <c r="AP42"/>
  <c r="AN42"/>
  <c r="AQ16"/>
  <c r="AQ42" s="1"/>
  <c r="AN17"/>
  <c r="BS40"/>
  <c r="BS7" i="1"/>
  <c r="BS11" s="1"/>
  <c r="BS14" s="1"/>
  <c r="BS16" s="1"/>
  <c r="BS19" s="1"/>
  <c r="BT81" i="4"/>
  <c r="BU69"/>
  <c r="BT80" s="1"/>
  <c r="BW80"/>
  <c r="BR80"/>
  <c r="BX17"/>
  <c r="BX26" s="1"/>
  <c r="BX5" i="1"/>
  <c r="BA12" i="7"/>
  <c r="BZ17" i="4"/>
  <c r="BZ26" s="1"/>
  <c r="BZ5" i="1"/>
  <c r="BY40" i="4"/>
  <c r="BY7" i="1"/>
  <c r="BY11" s="1"/>
  <c r="BY14" s="1"/>
  <c r="BY16" s="1"/>
  <c r="BY19" s="1"/>
  <c r="BZ80" i="4"/>
  <c r="CD80"/>
  <c r="CC36" i="1"/>
  <c r="CG36"/>
  <c r="CC21" i="3"/>
  <c r="CC26"/>
  <c r="CD40" i="4"/>
  <c r="CD7" i="1"/>
  <c r="CE17" i="4"/>
  <c r="BG12" i="7"/>
  <c r="CE40" i="4"/>
  <c r="BQ7" i="3"/>
  <c r="BQ12" s="1"/>
  <c r="M57" i="4"/>
  <c r="AK14" i="3"/>
  <c r="AK19"/>
  <c r="AK21" s="1"/>
  <c r="AK26" s="1"/>
  <c r="AG19"/>
  <c r="AG21"/>
  <c r="AG26" s="1"/>
  <c r="AO40" i="4"/>
  <c r="AI19" i="6"/>
  <c r="AI26" s="1"/>
  <c r="AW43" i="4"/>
  <c r="AW39"/>
  <c r="AS24" i="1"/>
  <c r="Q17" i="4"/>
  <c r="Q24" i="1" s="1"/>
  <c r="Q40" i="4"/>
  <c r="L12" i="7"/>
  <c r="M12"/>
  <c r="I12"/>
  <c r="BC7" i="4"/>
  <c r="BC41" s="1"/>
  <c r="BB14"/>
  <c r="BB41"/>
  <c r="AE14"/>
  <c r="AE41"/>
  <c r="S55"/>
  <c r="S14"/>
  <c r="S54" s="1"/>
  <c r="BH14" i="6"/>
  <c r="BH17"/>
  <c r="BN45" i="1"/>
  <c r="BW41" i="4"/>
  <c r="BW39"/>
  <c r="CJ40"/>
  <c r="CJ7" i="1"/>
  <c r="CD19" i="6"/>
  <c r="CD26" s="1"/>
  <c r="S12" i="1"/>
  <c r="O14"/>
  <c r="O16" s="1"/>
  <c r="O19" s="1"/>
  <c r="O21" s="1"/>
  <c r="AW11"/>
  <c r="AW14" s="1"/>
  <c r="AW16" s="1"/>
  <c r="AW19" s="1"/>
  <c r="AW21" s="1"/>
  <c r="AK11"/>
  <c r="AK14"/>
  <c r="AK16" s="1"/>
  <c r="AK19" s="1"/>
  <c r="AK21" s="1"/>
  <c r="AP21" i="3"/>
  <c r="AP26"/>
  <c r="AH21"/>
  <c r="AH26"/>
  <c r="AW21"/>
  <c r="AW26"/>
  <c r="S12"/>
  <c r="X80" i="4"/>
  <c r="AO80"/>
  <c r="AN80"/>
  <c r="CJ45" i="1"/>
  <c r="BA80" i="4"/>
  <c r="CI21" i="3"/>
  <c r="CI26"/>
  <c r="CD21"/>
  <c r="CD26"/>
  <c r="J19" i="6"/>
  <c r="J26" s="1"/>
  <c r="BZ21" i="3"/>
  <c r="BZ26" s="1"/>
  <c r="CA36" i="1"/>
  <c r="BS80" i="4"/>
  <c r="AQ12" i="7"/>
  <c r="AP12"/>
  <c r="M11" i="1"/>
  <c r="M14" s="1"/>
  <c r="M16" s="1"/>
  <c r="M19" s="1"/>
  <c r="M21" s="1"/>
  <c r="L14"/>
  <c r="L16"/>
  <c r="L19" s="1"/>
  <c r="L21" s="1"/>
  <c r="K38" i="2" s="1"/>
  <c r="BH17" i="4"/>
  <c r="BH24" i="1" s="1"/>
  <c r="AY19" i="6"/>
  <c r="AY26" s="1"/>
  <c r="Q19"/>
  <c r="Q26" s="1"/>
  <c r="AT19"/>
  <c r="AT26" s="1"/>
  <c r="G12" i="1"/>
  <c r="S8"/>
  <c r="S11"/>
  <c r="S14" s="1"/>
  <c r="S16" s="1"/>
  <c r="S19" s="1"/>
  <c r="S21" s="1"/>
  <c r="AT28" i="2"/>
  <c r="AQ19" i="3"/>
  <c r="S19"/>
  <c r="S21" s="1"/>
  <c r="S26" s="1"/>
  <c r="M19"/>
  <c r="BI19"/>
  <c r="BI21" s="1"/>
  <c r="BI26" s="1"/>
  <c r="BF21"/>
  <c r="BF26"/>
  <c r="BC21"/>
  <c r="BC26"/>
  <c r="AN21"/>
  <c r="AN26"/>
  <c r="AE8"/>
  <c r="AQ12"/>
  <c r="AQ21" s="1"/>
  <c r="AQ26" s="1"/>
  <c r="Y12"/>
  <c r="Y21" s="1"/>
  <c r="Y26" s="1"/>
  <c r="Y33" s="1"/>
  <c r="AV81" i="4"/>
  <c r="BC39"/>
  <c r="AV19" i="6" s="1"/>
  <c r="AV26" s="1"/>
  <c r="AQ14" i="4"/>
  <c r="AQ40" s="1"/>
  <c r="BC18" i="2"/>
  <c r="CA42" i="4"/>
  <c r="CG14"/>
  <c r="K55"/>
  <c r="P81"/>
  <c r="I55"/>
  <c r="J81"/>
  <c r="AK41"/>
  <c r="AK39"/>
  <c r="O42"/>
  <c r="O56"/>
  <c r="AH17"/>
  <c r="AH40"/>
  <c r="BC8"/>
  <c r="BC43" s="1"/>
  <c r="BB43"/>
  <c r="BQ14" i="6"/>
  <c r="BQ17" s="1"/>
  <c r="BW45" i="1"/>
  <c r="CD17" i="4"/>
  <c r="CD5" i="1"/>
  <c r="BF12" i="7"/>
  <c r="Q54" i="4"/>
  <c r="S41"/>
  <c r="AV17"/>
  <c r="AF13" i="7" s="1"/>
  <c r="AM17" i="4"/>
  <c r="Y13" i="7" s="1"/>
  <c r="AC17" i="4"/>
  <c r="AC24" i="1" s="1"/>
  <c r="BX80" i="4"/>
  <c r="BY21" i="3"/>
  <c r="BY26"/>
  <c r="BB12" i="7"/>
  <c r="BZ40" i="4"/>
  <c r="CE80"/>
  <c r="CF80"/>
  <c r="BQ18" i="2"/>
  <c r="CI80" i="4"/>
  <c r="CJ5" i="1"/>
  <c r="AV24"/>
  <c r="AD13" i="7"/>
  <c r="CD24" i="1"/>
  <c r="CJ11"/>
  <c r="CJ14" s="1"/>
  <c r="CJ16" s="1"/>
  <c r="CJ19" s="1"/>
  <c r="BW7"/>
  <c r="BW11" s="1"/>
  <c r="BW14" s="1"/>
  <c r="BW16" s="1"/>
  <c r="BW19" s="1"/>
  <c r="BW21" s="1"/>
  <c r="BW40" i="4"/>
  <c r="BQ19" i="6"/>
  <c r="BQ26" s="1"/>
  <c r="BR19"/>
  <c r="BR26" s="1"/>
  <c r="AP19"/>
  <c r="AP26" s="1"/>
  <c r="CD11" i="1"/>
  <c r="CD14" s="1"/>
  <c r="CD16" s="1"/>
  <c r="CD19" s="1"/>
  <c r="CD21" s="1"/>
  <c r="BZ24"/>
  <c r="W13" i="7"/>
  <c r="AN24" i="1"/>
  <c r="X13" i="7"/>
  <c r="AB13"/>
  <c r="AP24" i="1"/>
  <c r="AD19" i="6"/>
  <c r="AD26" s="1"/>
  <c r="BH12" i="7"/>
  <c r="AQ17" i="4"/>
  <c r="AQ24" i="1" s="1"/>
  <c r="BB40" i="4"/>
  <c r="BB17"/>
  <c r="BB24" i="1" s="1"/>
  <c r="AM12" i="7"/>
  <c r="AK12"/>
  <c r="AL12"/>
  <c r="BA13"/>
  <c r="BS19" i="6"/>
  <c r="BS26" s="1"/>
  <c r="AC13" i="7"/>
  <c r="C53" i="4"/>
  <c r="C54"/>
  <c r="CM41"/>
  <c r="CM19" i="3"/>
  <c r="BO21"/>
  <c r="BO26"/>
  <c r="CF40" i="4"/>
  <c r="W33" i="3"/>
  <c r="X30" s="1"/>
  <c r="X33" s="1"/>
  <c r="CC5" i="1"/>
  <c r="CF17" i="4"/>
  <c r="CK40"/>
  <c r="CE14" i="6"/>
  <c r="CE17" s="1"/>
  <c r="CK80" i="4"/>
  <c r="CK21" i="3"/>
  <c r="CK26" s="1"/>
  <c r="CF24" i="1"/>
  <c r="BQ21" i="3" l="1"/>
  <c r="BQ26" s="1"/>
  <c r="BQ36" i="1"/>
  <c r="M7" i="3"/>
  <c r="M12" s="1"/>
  <c r="M21" s="1"/>
  <c r="M26" s="1"/>
  <c r="AE7"/>
  <c r="AE12" s="1"/>
  <c r="AE21" s="1"/>
  <c r="AE26" s="1"/>
  <c r="BT17" i="6"/>
  <c r="BS7" i="3"/>
  <c r="BS12" s="1"/>
  <c r="BS21" s="1"/>
  <c r="BS26" s="1"/>
  <c r="K12"/>
  <c r="K21" s="1"/>
  <c r="K26" s="1"/>
  <c r="L14" i="6"/>
  <c r="R14"/>
  <c r="R17" s="1"/>
  <c r="F14"/>
  <c r="F17" s="1"/>
  <c r="F35" s="1"/>
  <c r="BJ13" i="7"/>
  <c r="CF26" i="4"/>
  <c r="CE24" i="1"/>
  <c r="CE26" i="4"/>
  <c r="CI24" i="1"/>
  <c r="CI26" i="4"/>
  <c r="BM24" i="1"/>
  <c r="BM26" i="4"/>
  <c r="BF13" i="7"/>
  <c r="CD26" i="4"/>
  <c r="BK24" i="1"/>
  <c r="BK26" i="4"/>
  <c r="BL24" i="1"/>
  <c r="BL26" i="4"/>
  <c r="W38" i="2"/>
  <c r="W43" s="1"/>
  <c r="X35" s="1"/>
  <c r="X37" s="1"/>
  <c r="X43" s="1"/>
  <c r="Y35" s="1"/>
  <c r="Y37" s="1"/>
  <c r="Y43" s="1"/>
  <c r="Z35" s="1"/>
  <c r="Z37" s="1"/>
  <c r="AA21" i="1"/>
  <c r="Z38" i="2"/>
  <c r="AD21" i="1"/>
  <c r="CL36"/>
  <c r="CM36" s="1"/>
  <c r="CL21" i="3"/>
  <c r="CL26" s="1"/>
  <c r="AK13" i="7"/>
  <c r="BX24" i="1"/>
  <c r="AR13" i="7"/>
  <c r="AU13"/>
  <c r="CC40" i="4"/>
  <c r="BW19" i="6"/>
  <c r="BW26" s="1"/>
  <c r="BX19"/>
  <c r="BX26" s="1"/>
  <c r="BX38" s="1"/>
  <c r="AE17" i="4"/>
  <c r="AE24" i="1" s="1"/>
  <c r="BY19" i="6"/>
  <c r="BY26" s="1"/>
  <c r="BY24" i="1"/>
  <c r="BY26" i="4"/>
  <c r="BW24" i="1"/>
  <c r="BW26" i="4"/>
  <c r="E40"/>
  <c r="I19" i="6"/>
  <c r="I26" s="1"/>
  <c r="I28" s="1"/>
  <c r="F21" i="3"/>
  <c r="F26" s="1"/>
  <c r="G8"/>
  <c r="AW14" i="4"/>
  <c r="BO39"/>
  <c r="BH19" i="6" s="1"/>
  <c r="BH26" s="1"/>
  <c r="AS10" i="7" s="1"/>
  <c r="AS4" s="1"/>
  <c r="AS5" s="1"/>
  <c r="BO69" i="4"/>
  <c r="BM12" i="3"/>
  <c r="BM21" s="1"/>
  <c r="BM26" s="1"/>
  <c r="AZ12" i="7"/>
  <c r="BK12"/>
  <c r="CM7" i="3"/>
  <c r="CM12" s="1"/>
  <c r="CM21" s="1"/>
  <c r="CM26" s="1"/>
  <c r="CL45" i="1"/>
  <c r="BO27" i="4"/>
  <c r="BU28"/>
  <c r="BR24" i="1"/>
  <c r="BR26" i="4"/>
  <c r="BT24" i="1"/>
  <c r="BT26" i="4"/>
  <c r="BQ24" i="1"/>
  <c r="BQ26" i="4"/>
  <c r="Y11" i="1"/>
  <c r="Y14" s="1"/>
  <c r="Y16" s="1"/>
  <c r="Y19" s="1"/>
  <c r="Y21" s="1"/>
  <c r="G39" i="4"/>
  <c r="G8" i="1"/>
  <c r="G11" s="1"/>
  <c r="G14" s="1"/>
  <c r="G16" s="1"/>
  <c r="G19" s="1"/>
  <c r="G21" s="1"/>
  <c r="D21" i="3"/>
  <c r="D26" s="1"/>
  <c r="G7"/>
  <c r="G12" s="1"/>
  <c r="G21" s="1"/>
  <c r="G26" s="1"/>
  <c r="G33" s="1"/>
  <c r="P82" i="4"/>
  <c r="BM80"/>
  <c r="X54"/>
  <c r="V54"/>
  <c r="S57"/>
  <c r="AV40"/>
  <c r="AN40"/>
  <c r="AJ40"/>
  <c r="AD40"/>
  <c r="AA42"/>
  <c r="S56"/>
  <c r="BF40"/>
  <c r="AA17" i="6"/>
  <c r="X14"/>
  <c r="X17" s="1"/>
  <c r="W14"/>
  <c r="W17" s="1"/>
  <c r="V14"/>
  <c r="V17" s="1"/>
  <c r="U14"/>
  <c r="U17" s="1"/>
  <c r="Q14"/>
  <c r="Q17" s="1"/>
  <c r="P17"/>
  <c r="O14"/>
  <c r="O17" s="1"/>
  <c r="L17"/>
  <c r="K14"/>
  <c r="K17" s="1"/>
  <c r="J17"/>
  <c r="I14"/>
  <c r="I17" s="1"/>
  <c r="E14"/>
  <c r="E17" s="1"/>
  <c r="D17"/>
  <c r="C14"/>
  <c r="C17" s="1"/>
  <c r="BO28" i="4"/>
  <c r="CA28"/>
  <c r="G40"/>
  <c r="F19" i="6"/>
  <c r="F26" s="1"/>
  <c r="F28" s="1"/>
  <c r="F30" s="1"/>
  <c r="BR7" i="3"/>
  <c r="BR12" s="1"/>
  <c r="BR11" i="1"/>
  <c r="BR14" s="1"/>
  <c r="BR16" s="1"/>
  <c r="BR19" s="1"/>
  <c r="BG38" i="2" s="1"/>
  <c r="F80" i="4"/>
  <c r="E54"/>
  <c r="AW17"/>
  <c r="AW24" i="1" s="1"/>
  <c r="AW40" i="4"/>
  <c r="T13" i="7"/>
  <c r="CG5" i="1"/>
  <c r="AH24"/>
  <c r="CM5"/>
  <c r="CA17" i="4"/>
  <c r="CA26" s="1"/>
  <c r="AA13" i="7"/>
  <c r="CC19" i="6"/>
  <c r="CC26" s="1"/>
  <c r="CC38" s="1"/>
  <c r="BU17" i="4"/>
  <c r="CG41"/>
  <c r="M69"/>
  <c r="L82"/>
  <c r="AY40"/>
  <c r="AB40"/>
  <c r="V40"/>
  <c r="R40"/>
  <c r="P40"/>
  <c r="J40"/>
  <c r="D40"/>
  <c r="AQ43"/>
  <c r="AE43"/>
  <c r="S43"/>
  <c r="G43"/>
  <c r="AE39"/>
  <c r="S42"/>
  <c r="AB17"/>
  <c r="AB24" i="1" s="1"/>
  <c r="AS40" i="4"/>
  <c r="M14"/>
  <c r="BY80"/>
  <c r="CA14"/>
  <c r="BC12" i="7" s="1"/>
  <c r="CA39" i="4"/>
  <c r="BT19" i="6" s="1"/>
  <c r="BT26" s="1"/>
  <c r="CG43" i="4"/>
  <c r="BJ12" i="7"/>
  <c r="BL12"/>
  <c r="CM17" i="4"/>
  <c r="BM13" i="7" s="1"/>
  <c r="CL17" i="4"/>
  <c r="CL40"/>
  <c r="S17"/>
  <c r="S24" i="1" s="1"/>
  <c r="CM40" i="4"/>
  <c r="R29" i="6"/>
  <c r="R28" s="1"/>
  <c r="F40" i="4"/>
  <c r="BL40"/>
  <c r="I54"/>
  <c r="L80"/>
  <c r="J80"/>
  <c r="K80"/>
  <c r="I80"/>
  <c r="BK10" i="7"/>
  <c r="BK4" s="1"/>
  <c r="BK5" s="1"/>
  <c r="CD38" i="6"/>
  <c r="CD28"/>
  <c r="L54" i="4"/>
  <c r="O80"/>
  <c r="Q80"/>
  <c r="P80"/>
  <c r="CC24" i="1"/>
  <c r="BG13" i="7"/>
  <c r="BE13"/>
  <c r="CG17" i="4"/>
  <c r="CG26" s="1"/>
  <c r="BC14"/>
  <c r="BK13" i="7"/>
  <c r="CA7" i="1"/>
  <c r="CA11" s="1"/>
  <c r="CA14" s="1"/>
  <c r="CA16" s="1"/>
  <c r="CA19" s="1"/>
  <c r="CA21" s="1"/>
  <c r="AH13" i="7"/>
  <c r="V13"/>
  <c r="S40" i="4"/>
  <c r="AG13" i="7"/>
  <c r="BB13"/>
  <c r="G53" i="4"/>
  <c r="G54" s="1"/>
  <c r="AX13" i="7"/>
  <c r="W11" i="1"/>
  <c r="W14" s="1"/>
  <c r="W16" s="1"/>
  <c r="W19" s="1"/>
  <c r="W21" s="1"/>
  <c r="M48" i="4"/>
  <c r="M53" s="1"/>
  <c r="M54" s="1"/>
  <c r="BU40"/>
  <c r="BO17"/>
  <c r="Y54"/>
  <c r="L55"/>
  <c r="AO19" i="6"/>
  <c r="AO26" s="1"/>
  <c r="AO28" s="1"/>
  <c r="AA40" i="4"/>
  <c r="U40"/>
  <c r="O40"/>
  <c r="BI42"/>
  <c r="AK14"/>
  <c r="AK17" s="1"/>
  <c r="AK24" i="1" s="1"/>
  <c r="BO14" i="4"/>
  <c r="BO40" s="1"/>
  <c r="BO42"/>
  <c r="CA41"/>
  <c r="CA5" i="1"/>
  <c r="CC80" i="4"/>
  <c r="CJ80"/>
  <c r="BO25"/>
  <c r="BO26" s="1"/>
  <c r="M40"/>
  <c r="AZ80"/>
  <c r="AW69"/>
  <c r="AV80" s="1"/>
  <c r="AQ69"/>
  <c r="AP80" s="1"/>
  <c r="AK69"/>
  <c r="AJ80" s="1"/>
  <c r="Y69"/>
  <c r="BN80"/>
  <c r="BU5" i="1"/>
  <c r="BL13" i="7"/>
  <c r="AI10"/>
  <c r="AI4" s="1"/>
  <c r="AV28" i="6"/>
  <c r="AV38"/>
  <c r="AD28"/>
  <c r="AD30" s="1"/>
  <c r="AD34" s="1"/>
  <c r="T10" i="7"/>
  <c r="CA24" i="1"/>
  <c r="BC13" i="7"/>
  <c r="CC11" i="1"/>
  <c r="CC14" s="1"/>
  <c r="CC16" s="1"/>
  <c r="CC19" s="1"/>
  <c r="CC21" s="1"/>
  <c r="CG7"/>
  <c r="CG11" s="1"/>
  <c r="CG14" s="1"/>
  <c r="CG16" s="1"/>
  <c r="CG19" s="1"/>
  <c r="CG21" s="1"/>
  <c r="AN38" i="6"/>
  <c r="AB10" i="7"/>
  <c r="AN28" i="6"/>
  <c r="W28"/>
  <c r="W35" s="1"/>
  <c r="N10" i="7"/>
  <c r="BF38" i="6"/>
  <c r="AQ10" i="7"/>
  <c r="AQ4" s="1"/>
  <c r="AQ5" s="1"/>
  <c r="BF28" i="6"/>
  <c r="BI17" i="4"/>
  <c r="BG24" i="1"/>
  <c r="AQ13" i="7"/>
  <c r="AM13"/>
  <c r="CA40" i="4"/>
  <c r="Q10" i="7"/>
  <c r="AA28" i="6"/>
  <c r="AA30" s="1"/>
  <c r="AS12" i="7"/>
  <c r="BT11" i="1"/>
  <c r="BT14" s="1"/>
  <c r="BT16" s="1"/>
  <c r="BT19" s="1"/>
  <c r="BI38" i="2" s="1"/>
  <c r="BT7" i="3"/>
  <c r="BU7" i="1"/>
  <c r="BU11" s="1"/>
  <c r="BU14" s="1"/>
  <c r="BU16" s="1"/>
  <c r="BU19" s="1"/>
  <c r="BU21" s="1"/>
  <c r="CI11"/>
  <c r="CI14" s="1"/>
  <c r="CI16" s="1"/>
  <c r="CI19" s="1"/>
  <c r="CI21" s="1"/>
  <c r="CM7"/>
  <c r="CM11" s="1"/>
  <c r="CM14" s="1"/>
  <c r="CM16" s="1"/>
  <c r="CM19" s="1"/>
  <c r="CM21" s="1"/>
  <c r="CL80" i="4"/>
  <c r="CF19" i="6"/>
  <c r="CF26" s="1"/>
  <c r="BM10" i="7" s="1"/>
  <c r="BM4" s="1"/>
  <c r="AL13"/>
  <c r="BC17" i="4"/>
  <c r="AM24" i="1"/>
  <c r="AP13" i="7"/>
  <c r="AE40" i="4"/>
  <c r="CM24" i="1"/>
  <c r="CG39" i="4"/>
  <c r="BI39"/>
  <c r="Y39"/>
  <c r="AT28" i="6"/>
  <c r="AG10" i="7"/>
  <c r="AG4" s="1"/>
  <c r="AG5" s="1"/>
  <c r="AT38" i="6"/>
  <c r="AK10" i="7"/>
  <c r="AK4" s="1"/>
  <c r="AK5" s="1"/>
  <c r="AY38" i="6"/>
  <c r="AY28"/>
  <c r="AU10" i="7"/>
  <c r="AU4" s="1"/>
  <c r="BK28" i="6"/>
  <c r="BK38"/>
  <c r="AR10" i="7"/>
  <c r="AR4" s="1"/>
  <c r="BG38" i="6"/>
  <c r="BG28"/>
  <c r="G10" i="7"/>
  <c r="O28" i="6"/>
  <c r="O30" s="1"/>
  <c r="S10" i="7"/>
  <c r="AC28" i="6"/>
  <c r="AC30" s="1"/>
  <c r="AC34" s="1"/>
  <c r="I10" i="7"/>
  <c r="Q28" i="6"/>
  <c r="Q30" s="1"/>
  <c r="Q34" s="1"/>
  <c r="D35" i="2"/>
  <c r="D37" s="1"/>
  <c r="D43" s="1"/>
  <c r="C21"/>
  <c r="C28" s="1"/>
  <c r="R10" i="7"/>
  <c r="AB28" i="6"/>
  <c r="AB30" s="1"/>
  <c r="AB34" s="1"/>
  <c r="AM38"/>
  <c r="AM28"/>
  <c r="AA10" i="7"/>
  <c r="CF28" i="6"/>
  <c r="CF35" s="1"/>
  <c r="D33" i="3"/>
  <c r="E30" s="1"/>
  <c r="E33" s="1"/>
  <c r="F30" s="1"/>
  <c r="F33" s="1"/>
  <c r="I30" s="1"/>
  <c r="AB35" i="6"/>
  <c r="BH38" i="2"/>
  <c r="BS21" i="1"/>
  <c r="BV38" i="2"/>
  <c r="CJ21" i="1"/>
  <c r="BX28" i="6"/>
  <c r="BF10" i="7"/>
  <c r="BF4" s="1"/>
  <c r="AI28" i="6"/>
  <c r="X10" i="7"/>
  <c r="BR21" i="1"/>
  <c r="AV10" i="7"/>
  <c r="AV4" s="1"/>
  <c r="BL28" i="6"/>
  <c r="BL38"/>
  <c r="AZ38"/>
  <c r="AZ28"/>
  <c r="AL10" i="7"/>
  <c r="AL4" s="1"/>
  <c r="AS38" i="6"/>
  <c r="AS28"/>
  <c r="AF10" i="7"/>
  <c r="AF4" s="1"/>
  <c r="H10"/>
  <c r="P28" i="6"/>
  <c r="BS38"/>
  <c r="BB10" i="7"/>
  <c r="BB4" s="1"/>
  <c r="BS28" i="6"/>
  <c r="BS36" i="1"/>
  <c r="AP28" i="6"/>
  <c r="AD10" i="7"/>
  <c r="AP38" i="6"/>
  <c r="AZ10" i="7"/>
  <c r="AZ4" s="1"/>
  <c r="BQ28" i="6"/>
  <c r="BQ38"/>
  <c r="J28"/>
  <c r="C10" i="7"/>
  <c r="BM38" i="2"/>
  <c r="BY21" i="1"/>
  <c r="BR21" i="3"/>
  <c r="BR26" s="1"/>
  <c r="BR36" i="1"/>
  <c r="BE38" i="6"/>
  <c r="AP10" i="7"/>
  <c r="AP4" s="1"/>
  <c r="BE28" i="6"/>
  <c r="CC28"/>
  <c r="B10" i="7"/>
  <c r="BQ21" i="1"/>
  <c r="BF38" i="2"/>
  <c r="L28" i="6"/>
  <c r="E10" i="7"/>
  <c r="BM38" i="6"/>
  <c r="AW10" i="7"/>
  <c r="AW4" s="1"/>
  <c r="BM28" i="6"/>
  <c r="K28"/>
  <c r="D10" i="7"/>
  <c r="J10"/>
  <c r="V10"/>
  <c r="AG28" i="6"/>
  <c r="V28"/>
  <c r="M10" i="7"/>
  <c r="U28" i="6"/>
  <c r="L10" i="7"/>
  <c r="BA38" i="6"/>
  <c r="AM10" i="7"/>
  <c r="AM4" s="1"/>
  <c r="BA28" i="6"/>
  <c r="BW38" i="2"/>
  <c r="CK21" i="1"/>
  <c r="BX38" i="2"/>
  <c r="CL21" i="1"/>
  <c r="BR28" i="6"/>
  <c r="BA10" i="7"/>
  <c r="BA4" s="1"/>
  <c r="BR38" i="6"/>
  <c r="BW38"/>
  <c r="BE10" i="7"/>
  <c r="BE4" s="1"/>
  <c r="BW28" i="6"/>
  <c r="BY38"/>
  <c r="BG10" i="7"/>
  <c r="BG4" s="1"/>
  <c r="BY28" i="6"/>
  <c r="AH10" i="7"/>
  <c r="AH4" s="1"/>
  <c r="AU28" i="6"/>
  <c r="AU38"/>
  <c r="AJ28"/>
  <c r="Y10" i="7"/>
  <c r="CE38" i="6"/>
  <c r="BL10" i="7"/>
  <c r="BL4" s="1"/>
  <c r="CE28" i="6"/>
  <c r="BN38"/>
  <c r="AX10" i="7"/>
  <c r="AX4" s="1"/>
  <c r="BN28" i="6"/>
  <c r="AH28"/>
  <c r="W10" i="7"/>
  <c r="BL38" i="2"/>
  <c r="BX21" i="1"/>
  <c r="BN38" i="2"/>
  <c r="BZ21" i="1"/>
  <c r="F34" i="6" l="1"/>
  <c r="BU38" i="2"/>
  <c r="AR6" i="7"/>
  <c r="BH38" i="6"/>
  <c r="W30"/>
  <c r="W34" s="1"/>
  <c r="BJ10" i="7"/>
  <c r="BJ4" s="1"/>
  <c r="O34" i="6"/>
  <c r="AK6" i="7"/>
  <c r="AA34" i="6"/>
  <c r="AO38"/>
  <c r="BH28"/>
  <c r="BH30" s="1"/>
  <c r="BH34" s="1"/>
  <c r="AC10" i="7"/>
  <c r="CL24" i="1"/>
  <c r="CL26" i="4"/>
  <c r="CM26"/>
  <c r="Z43" i="2"/>
  <c r="AB35" s="1"/>
  <c r="AB37" s="1"/>
  <c r="AB43" s="1"/>
  <c r="AC35" s="1"/>
  <c r="AC37" s="1"/>
  <c r="AC43" s="1"/>
  <c r="AD35" s="1"/>
  <c r="AD37" s="1"/>
  <c r="AD43" s="1"/>
  <c r="AE35" s="1"/>
  <c r="AE37" s="1"/>
  <c r="AE43" s="1"/>
  <c r="AG35" s="1"/>
  <c r="AG37" s="1"/>
  <c r="AG43" s="1"/>
  <c r="AH35" s="1"/>
  <c r="AH37" s="1"/>
  <c r="AH43" s="1"/>
  <c r="AI35" s="1"/>
  <c r="AI37" s="1"/>
  <c r="AI43" s="1"/>
  <c r="AJ35" s="1"/>
  <c r="AJ37" s="1"/>
  <c r="AJ43" s="1"/>
  <c r="AL35" s="1"/>
  <c r="AL37" s="1"/>
  <c r="AL43" s="1"/>
  <c r="AM35" s="1"/>
  <c r="AM37" s="1"/>
  <c r="AM43" s="1"/>
  <c r="AN35" s="1"/>
  <c r="AN37" s="1"/>
  <c r="AN43" s="1"/>
  <c r="AO35" s="1"/>
  <c r="AO37" s="1"/>
  <c r="AO43" s="1"/>
  <c r="AQ35" s="1"/>
  <c r="AQ37" s="1"/>
  <c r="AQ43" s="1"/>
  <c r="AR35" s="1"/>
  <c r="AR37" s="1"/>
  <c r="AR43" s="1"/>
  <c r="AS35" s="1"/>
  <c r="AS37" s="1"/>
  <c r="AS43" s="1"/>
  <c r="AT35" s="1"/>
  <c r="AT37" s="1"/>
  <c r="AT43" s="1"/>
  <c r="AV35" s="1"/>
  <c r="AV37" s="1"/>
  <c r="AV43" s="1"/>
  <c r="AW35" s="1"/>
  <c r="AW37" s="1"/>
  <c r="AW43" s="1"/>
  <c r="AX35" s="1"/>
  <c r="AX37" s="1"/>
  <c r="AX43" s="1"/>
  <c r="AY35" s="1"/>
  <c r="AY37" s="1"/>
  <c r="AY43" s="1"/>
  <c r="BA35" s="1"/>
  <c r="BA37" s="1"/>
  <c r="BA43" s="1"/>
  <c r="BB35" s="1"/>
  <c r="BB37" s="1"/>
  <c r="BB43" s="1"/>
  <c r="BC35" s="1"/>
  <c r="BC37" s="1"/>
  <c r="BC43" s="1"/>
  <c r="BD35" s="1"/>
  <c r="BD37" s="1"/>
  <c r="BD43" s="1"/>
  <c r="BF35" s="1"/>
  <c r="BF37" s="1"/>
  <c r="BF43" s="1"/>
  <c r="BG35" s="1"/>
  <c r="BG37" s="1"/>
  <c r="BG43" s="1"/>
  <c r="BH35" s="1"/>
  <c r="BH37" s="1"/>
  <c r="BH43" s="1"/>
  <c r="BI35" s="1"/>
  <c r="BI37" s="1"/>
  <c r="BI43" s="1"/>
  <c r="BK35" s="1"/>
  <c r="BK37" s="1"/>
  <c r="BK43" s="1"/>
  <c r="BL35" s="1"/>
  <c r="BL37" s="1"/>
  <c r="BL43" s="1"/>
  <c r="BM35" s="1"/>
  <c r="BM37" s="1"/>
  <c r="BM43" s="1"/>
  <c r="BN35" s="1"/>
  <c r="BN37" s="1"/>
  <c r="BN43" s="1"/>
  <c r="BP35" s="1"/>
  <c r="BP37" s="1"/>
  <c r="BP43" s="1"/>
  <c r="BQ35" s="1"/>
  <c r="BQ37" s="1"/>
  <c r="BQ43" s="1"/>
  <c r="BR35" s="1"/>
  <c r="BR37" s="1"/>
  <c r="BR43" s="1"/>
  <c r="BS35" s="1"/>
  <c r="BS37" s="1"/>
  <c r="BS43" s="1"/>
  <c r="BU35" s="1"/>
  <c r="BU37" s="1"/>
  <c r="BU24" i="1"/>
  <c r="BU26" i="4"/>
  <c r="AQ6" i="7"/>
  <c r="AK40" i="4"/>
  <c r="BK6" i="7"/>
  <c r="BM5"/>
  <c r="BM6"/>
  <c r="BO24" i="1"/>
  <c r="AS13" i="7"/>
  <c r="AS6" s="1"/>
  <c r="BC40" i="4"/>
  <c r="AI12" i="7"/>
  <c r="AI5" s="1"/>
  <c r="CF38" i="6"/>
  <c r="AD35"/>
  <c r="BH13" i="7"/>
  <c r="CG24" i="1"/>
  <c r="CD30" i="6"/>
  <c r="CD34" s="1"/>
  <c r="CD35"/>
  <c r="BZ19"/>
  <c r="BZ26" s="1"/>
  <c r="CG40" i="4"/>
  <c r="BT12" i="3"/>
  <c r="BU7"/>
  <c r="BU12" s="1"/>
  <c r="BU21" s="1"/>
  <c r="BU26" s="1"/>
  <c r="BF30" i="6"/>
  <c r="BF34" s="1"/>
  <c r="BF35"/>
  <c r="BH35"/>
  <c r="BI40" i="4"/>
  <c r="BB19" i="6"/>
  <c r="BB26" s="1"/>
  <c r="BC24" i="1"/>
  <c r="AI13" i="7"/>
  <c r="AI6" s="1"/>
  <c r="BC10"/>
  <c r="BC4" s="1"/>
  <c r="BT28" i="6"/>
  <c r="BT38"/>
  <c r="BI24" i="1"/>
  <c r="AN13" i="7"/>
  <c r="AN30" i="6"/>
  <c r="AN34" s="1"/>
  <c r="AN35"/>
  <c r="AR5" i="7"/>
  <c r="AG6"/>
  <c r="AA35" i="6"/>
  <c r="Y40" i="4"/>
  <c r="X19" i="6"/>
  <c r="X26" s="1"/>
  <c r="AV30"/>
  <c r="AV34" s="1"/>
  <c r="AV35"/>
  <c r="M30" i="3"/>
  <c r="M33" s="1"/>
  <c r="I33"/>
  <c r="J30" s="1"/>
  <c r="J33" s="1"/>
  <c r="K30" s="1"/>
  <c r="K33" s="1"/>
  <c r="L30" s="1"/>
  <c r="L33" s="1"/>
  <c r="O30" s="1"/>
  <c r="AY30" i="6"/>
  <c r="AY34" s="1"/>
  <c r="AY35"/>
  <c r="AM35"/>
  <c r="AM30"/>
  <c r="AM34" s="1"/>
  <c r="AU5" i="7"/>
  <c r="AU6"/>
  <c r="AT30" i="6"/>
  <c r="AT34" s="1"/>
  <c r="AT35"/>
  <c r="CF30"/>
  <c r="CF34" s="1"/>
  <c r="O35"/>
  <c r="Q35"/>
  <c r="AC35"/>
  <c r="D21" i="2"/>
  <c r="E35"/>
  <c r="E37" s="1"/>
  <c r="E43" s="1"/>
  <c r="BG30" i="6"/>
  <c r="BG34" s="1"/>
  <c r="BG35"/>
  <c r="BK30"/>
  <c r="BK34" s="1"/>
  <c r="BK35"/>
  <c r="AH30"/>
  <c r="AH34" s="1"/>
  <c r="AH35"/>
  <c r="CE30"/>
  <c r="CE34" s="1"/>
  <c r="CE35"/>
  <c r="AH5" i="7"/>
  <c r="AH6"/>
  <c r="AO30" i="6"/>
  <c r="AO34" s="1"/>
  <c r="AO35"/>
  <c r="BN30"/>
  <c r="BN34" s="1"/>
  <c r="BN35"/>
  <c r="BL6" i="7"/>
  <c r="BL5"/>
  <c r="AJ30" i="6"/>
  <c r="AJ34" s="1"/>
  <c r="AJ35"/>
  <c r="AU30"/>
  <c r="AU34" s="1"/>
  <c r="AU35"/>
  <c r="BY30"/>
  <c r="BY34" s="1"/>
  <c r="BY35"/>
  <c r="BE5" i="7"/>
  <c r="BE6"/>
  <c r="BR30" i="6"/>
  <c r="BR34" s="1"/>
  <c r="BR35"/>
  <c r="BA30"/>
  <c r="BA34" s="1"/>
  <c r="BA35"/>
  <c r="U30"/>
  <c r="U34" s="1"/>
  <c r="U35"/>
  <c r="V35"/>
  <c r="V30"/>
  <c r="V34" s="1"/>
  <c r="R35"/>
  <c r="R30"/>
  <c r="R34" s="1"/>
  <c r="K30"/>
  <c r="K34" s="1"/>
  <c r="K35"/>
  <c r="AW6" i="7"/>
  <c r="AW5"/>
  <c r="I30" i="6"/>
  <c r="I34" s="1"/>
  <c r="I35"/>
  <c r="CC30"/>
  <c r="CC34" s="1"/>
  <c r="CC35"/>
  <c r="AP6" i="7"/>
  <c r="AP5"/>
  <c r="AZ5"/>
  <c r="AZ6"/>
  <c r="BS30" i="6"/>
  <c r="BS34" s="1"/>
  <c r="BS35"/>
  <c r="AS30"/>
  <c r="AS34" s="1"/>
  <c r="AS35"/>
  <c r="AL6" i="7"/>
  <c r="AL5"/>
  <c r="BL35" i="6"/>
  <c r="BL30"/>
  <c r="BL34" s="1"/>
  <c r="BX30"/>
  <c r="BX34" s="1"/>
  <c r="BX35"/>
  <c r="AX5" i="7"/>
  <c r="AX6"/>
  <c r="BG5"/>
  <c r="BG6"/>
  <c r="BW30" i="6"/>
  <c r="BW34" s="1"/>
  <c r="BW35"/>
  <c r="BA5" i="7"/>
  <c r="BA6"/>
  <c r="AM5"/>
  <c r="AM6"/>
  <c r="AG30" i="6"/>
  <c r="AG34" s="1"/>
  <c r="AG35"/>
  <c r="BM30"/>
  <c r="BM34" s="1"/>
  <c r="BM35"/>
  <c r="L30"/>
  <c r="L34" s="1"/>
  <c r="L35"/>
  <c r="BJ5" i="7"/>
  <c r="BJ6"/>
  <c r="BE30" i="6"/>
  <c r="BE34" s="1"/>
  <c r="BE35"/>
  <c r="J30"/>
  <c r="J34" s="1"/>
  <c r="J35"/>
  <c r="BQ30"/>
  <c r="BQ34" s="1"/>
  <c r="BQ35"/>
  <c r="AP30"/>
  <c r="AP34" s="1"/>
  <c r="AP35"/>
  <c r="BB6" i="7"/>
  <c r="BB5"/>
  <c r="P30" i="6"/>
  <c r="P34" s="1"/>
  <c r="P35"/>
  <c r="AF5" i="7"/>
  <c r="AF6"/>
  <c r="AZ30" i="6"/>
  <c r="AZ34" s="1"/>
  <c r="AZ35"/>
  <c r="AV6" i="7"/>
  <c r="AV5"/>
  <c r="AI30" i="6"/>
  <c r="AI34" s="1"/>
  <c r="AI35"/>
  <c r="BF5" i="7"/>
  <c r="BF6"/>
  <c r="BU43" i="2" l="1"/>
  <c r="BV35" s="1"/>
  <c r="BV37" s="1"/>
  <c r="BV43" s="1"/>
  <c r="BW35" s="1"/>
  <c r="BW37" s="1"/>
  <c r="BW43" s="1"/>
  <c r="BX35" s="1"/>
  <c r="BX37" s="1"/>
  <c r="BX43" s="1"/>
  <c r="BT30" i="6"/>
  <c r="BT34" s="1"/>
  <c r="BT35"/>
  <c r="BB28"/>
  <c r="AN10" i="7"/>
  <c r="AN4" s="1"/>
  <c r="BB38" i="6"/>
  <c r="O10" i="7"/>
  <c r="X28" i="6"/>
  <c r="BC5" i="7"/>
  <c r="BC6"/>
  <c r="BT36" i="1"/>
  <c r="BU36" s="1"/>
  <c r="BT21" i="3"/>
  <c r="BT26" s="1"/>
  <c r="BZ38" i="6"/>
  <c r="BZ28"/>
  <c r="BH10" i="7"/>
  <c r="BH4" s="1"/>
  <c r="D28" i="2"/>
  <c r="D29" i="1"/>
  <c r="O33" i="3"/>
  <c r="P30" s="1"/>
  <c r="P33" s="1"/>
  <c r="Q30" s="1"/>
  <c r="Q33" s="1"/>
  <c r="R30" s="1"/>
  <c r="R33" s="1"/>
  <c r="S30"/>
  <c r="S33" s="1"/>
  <c r="AA30" s="1"/>
  <c r="F35" i="2"/>
  <c r="F37" s="1"/>
  <c r="F43" s="1"/>
  <c r="E21"/>
  <c r="BZ30" i="6" l="1"/>
  <c r="BZ34" s="1"/>
  <c r="BZ35"/>
  <c r="X30"/>
  <c r="X34" s="1"/>
  <c r="X35"/>
  <c r="BB35"/>
  <c r="BB30"/>
  <c r="BB34" s="1"/>
  <c r="BH6" i="7"/>
  <c r="BH5"/>
  <c r="AN6"/>
  <c r="AN5"/>
  <c r="E28" i="2"/>
  <c r="E29" i="1"/>
  <c r="AE30" i="3"/>
  <c r="AE33" s="1"/>
  <c r="AA33"/>
  <c r="AB30" s="1"/>
  <c r="AB33" s="1"/>
  <c r="AC30" s="1"/>
  <c r="AC33" s="1"/>
  <c r="AD30" s="1"/>
  <c r="AD33" s="1"/>
  <c r="AG30" s="1"/>
  <c r="H35" i="2"/>
  <c r="H37" s="1"/>
  <c r="H43" s="1"/>
  <c r="F21"/>
  <c r="F29" i="1" l="1"/>
  <c r="F28" i="2"/>
  <c r="AK30" i="3"/>
  <c r="AK33" s="1"/>
  <c r="AG33"/>
  <c r="AH30" s="1"/>
  <c r="AH33" s="1"/>
  <c r="AI30" s="1"/>
  <c r="AI33" s="1"/>
  <c r="AJ30" s="1"/>
  <c r="AJ33" s="1"/>
  <c r="AM30" s="1"/>
  <c r="I35" i="2"/>
  <c r="I37" s="1"/>
  <c r="I43" s="1"/>
  <c r="H21"/>
  <c r="I29" i="1" l="1"/>
  <c r="H28" i="2"/>
  <c r="AM33" i="3"/>
  <c r="AN30" s="1"/>
  <c r="AN33" s="1"/>
  <c r="AO30" s="1"/>
  <c r="AO33" s="1"/>
  <c r="AP30" s="1"/>
  <c r="AP33" s="1"/>
  <c r="AS30" s="1"/>
  <c r="AQ30"/>
  <c r="AQ33" s="1"/>
  <c r="J35" i="2"/>
  <c r="J37" s="1"/>
  <c r="J43" s="1"/>
  <c r="I21"/>
  <c r="I28" l="1"/>
  <c r="J29" i="1"/>
  <c r="K35" i="2"/>
  <c r="K37" s="1"/>
  <c r="K43" s="1"/>
  <c r="J21"/>
  <c r="AW30" i="3"/>
  <c r="AW33" s="1"/>
  <c r="AY30" s="1"/>
  <c r="AS33"/>
  <c r="AT30" s="1"/>
  <c r="AT33" s="1"/>
  <c r="AU30" s="1"/>
  <c r="AU33" s="1"/>
  <c r="AV30" s="1"/>
  <c r="AV33" s="1"/>
  <c r="K29" i="1" l="1"/>
  <c r="J28" i="2"/>
  <c r="AY33" i="3"/>
  <c r="AZ30" s="1"/>
  <c r="AZ33" s="1"/>
  <c r="BA30" s="1"/>
  <c r="BA33" s="1"/>
  <c r="BB30" s="1"/>
  <c r="BB33" s="1"/>
  <c r="BC30"/>
  <c r="BC33" s="1"/>
  <c r="BE30" s="1"/>
  <c r="M35" i="2"/>
  <c r="M37" s="1"/>
  <c r="M43" s="1"/>
  <c r="N35" s="1"/>
  <c r="N37" s="1"/>
  <c r="N43" s="1"/>
  <c r="O35" s="1"/>
  <c r="O37" s="1"/>
  <c r="O43" s="1"/>
  <c r="P35" s="1"/>
  <c r="P37" s="1"/>
  <c r="P43" s="1"/>
  <c r="K21"/>
  <c r="K28" l="1"/>
  <c r="L29" i="1"/>
  <c r="BI30" i="3"/>
  <c r="BI33" s="1"/>
  <c r="BK30" s="1"/>
  <c r="BE33"/>
  <c r="BF30" s="1"/>
  <c r="BF33" s="1"/>
  <c r="BG30" s="1"/>
  <c r="BG33" s="1"/>
  <c r="BH30" s="1"/>
  <c r="BH33" s="1"/>
  <c r="BO30" l="1"/>
  <c r="BO33" s="1"/>
  <c r="BK33"/>
  <c r="BL30" s="1"/>
  <c r="BL33" s="1"/>
  <c r="BM30" s="1"/>
  <c r="BM33" s="1"/>
  <c r="BN30" s="1"/>
  <c r="BN33" s="1"/>
  <c r="BQ30" s="1"/>
  <c r="BU30" l="1"/>
  <c r="BU33" s="1"/>
  <c r="BQ33"/>
  <c r="BR30" s="1"/>
  <c r="BR33" s="1"/>
  <c r="BS30" s="1"/>
  <c r="BS33" s="1"/>
  <c r="BT30" s="1"/>
  <c r="BT33" s="1"/>
  <c r="BW30" s="1"/>
  <c r="CA30" l="1"/>
  <c r="CA33" s="1"/>
  <c r="BW33"/>
  <c r="BX30" s="1"/>
  <c r="BX33" s="1"/>
  <c r="BY30" s="1"/>
  <c r="BY33" s="1"/>
  <c r="BZ30" s="1"/>
  <c r="BZ33" s="1"/>
  <c r="CC30" s="1"/>
  <c r="CC33" l="1"/>
  <c r="CD30" s="1"/>
  <c r="CD33" s="1"/>
  <c r="CE30" s="1"/>
  <c r="CE33" s="1"/>
  <c r="CF30" s="1"/>
  <c r="CF33" s="1"/>
  <c r="CI30" s="1"/>
  <c r="CG30"/>
  <c r="CG33" s="1"/>
  <c r="CI33" l="1"/>
  <c r="CJ30" s="1"/>
  <c r="CJ33" s="1"/>
  <c r="CK30" s="1"/>
  <c r="CK33" s="1"/>
  <c r="CL30" s="1"/>
  <c r="CL33" s="1"/>
  <c r="CM30"/>
  <c r="CM33" s="1"/>
</calcChain>
</file>

<file path=xl/comments1.xml><?xml version="1.0" encoding="utf-8"?>
<comments xmlns="http://schemas.openxmlformats.org/spreadsheetml/2006/main">
  <authors>
    <author>XX</author>
  </authors>
  <commentList>
    <comment ref="R10" authorId="0">
      <text>
        <r>
          <rPr>
            <b/>
            <sz val="8"/>
            <color indexed="81"/>
            <rFont val="Tahoma"/>
            <family val="2"/>
          </rPr>
          <t>NKT Integration: (19)
Priorparken: (6)</t>
        </r>
      </text>
    </comment>
    <comment ref="R15" authorId="0">
      <text>
        <r>
          <rPr>
            <b/>
            <sz val="8"/>
            <color indexed="81"/>
            <rFont val="Tahoma"/>
            <family val="2"/>
          </rPr>
          <t>Financial items: 4
Unrealized gain
on shares in AMSC
and IMA: +20</t>
        </r>
      </text>
    </comment>
    <comment ref="X15" authorId="0">
      <text>
        <r>
          <rPr>
            <sz val="8"/>
            <color indexed="81"/>
            <rFont val="Tahoma"/>
            <family val="2"/>
          </rPr>
          <t xml:space="preserve">Write up AMSC / IMA shares : +19
Other financial items: 0
</t>
        </r>
      </text>
    </comment>
    <comment ref="X18" authorId="0">
      <text>
        <r>
          <rPr>
            <sz val="8"/>
            <color indexed="81"/>
            <rFont val="Tahoma"/>
            <family val="2"/>
          </rPr>
          <t xml:space="preserve">Adj. Tax Asset: +50
Tax payable: (18)
</t>
        </r>
      </text>
    </comment>
  </commentList>
</comments>
</file>

<file path=xl/comments2.xml><?xml version="1.0" encoding="utf-8"?>
<comments xmlns="http://schemas.openxmlformats.org/spreadsheetml/2006/main">
  <authors>
    <author>XX</author>
  </authors>
  <commentList>
    <comment ref="V11" authorId="0">
      <text>
        <r>
          <rPr>
            <b/>
            <sz val="8"/>
            <color indexed="81"/>
            <rFont val="Tahoma"/>
            <family val="2"/>
          </rPr>
          <t>Incl (31) mDKK for acquisition of 30% of NKT Cables China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8" authorId="0">
      <text>
        <r>
          <rPr>
            <b/>
            <sz val="8"/>
            <color indexed="81"/>
            <rFont val="Tahoma"/>
            <family val="2"/>
          </rPr>
          <t>Incl +38 mDKK for reclassed shares in AMSC / IMA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18" authorId="0">
      <text>
        <r>
          <rPr>
            <b/>
            <sz val="8"/>
            <color indexed="81"/>
            <rFont val="Tahoma"/>
            <family val="2"/>
          </rPr>
          <t>Capitalization of NKT Flexibles (30)
Other investments (11)</t>
        </r>
      </text>
    </comment>
  </commentList>
</comments>
</file>

<file path=xl/comments3.xml><?xml version="1.0" encoding="utf-8"?>
<comments xmlns="http://schemas.openxmlformats.org/spreadsheetml/2006/main">
  <authors>
    <author>Thomas  Hofman-Bang</author>
    <author>XX</author>
  </authors>
  <commentList>
    <comment ref="L32" authorId="0">
      <text>
        <r>
          <rPr>
            <b/>
            <sz val="8"/>
            <color indexed="81"/>
            <rFont val="Tahoma"/>
            <family val="2"/>
          </rPr>
          <t>Operation: 28
Restructuring: (121)</t>
        </r>
      </text>
    </comment>
    <comment ref="M32" authorId="0">
      <text>
        <r>
          <rPr>
            <b/>
            <sz val="8"/>
            <color indexed="81"/>
            <rFont val="Tahoma"/>
            <family val="2"/>
          </rPr>
          <t>Operation: 109
Restructuring: (121)
Guidance 2003:
+/- 6% of revenue</t>
        </r>
      </text>
    </comment>
    <comment ref="M33" authorId="0">
      <text>
        <r>
          <rPr>
            <b/>
            <sz val="8"/>
            <color indexed="81"/>
            <rFont val="Tahoma"/>
            <family val="2"/>
          </rPr>
          <t>Guidance 2003:
&gt;9% of revenue</t>
        </r>
      </text>
    </comment>
    <comment ref="I34" authorId="0">
      <text>
        <r>
          <rPr>
            <b/>
            <sz val="8"/>
            <color indexed="81"/>
            <rFont val="Tahoma"/>
            <family val="2"/>
          </rPr>
          <t>Operation: 7
Gains: 60</t>
        </r>
      </text>
    </comment>
    <comment ref="J34" authorId="0">
      <text>
        <r>
          <rPr>
            <b/>
            <sz val="8"/>
            <color indexed="81"/>
            <rFont val="Tahoma"/>
            <family val="2"/>
          </rPr>
          <t>Operation: 8
Gains: 11</t>
        </r>
      </text>
    </comment>
    <comment ref="K34" authorId="0">
      <text>
        <r>
          <rPr>
            <b/>
            <sz val="8"/>
            <color indexed="81"/>
            <rFont val="Tahoma"/>
            <family val="2"/>
          </rPr>
          <t>Operation: 8
Gains: 39</t>
        </r>
      </text>
    </comment>
    <comment ref="L34" authorId="0">
      <text>
        <r>
          <rPr>
            <b/>
            <sz val="8"/>
            <color indexed="81"/>
            <rFont val="Tahoma"/>
            <family val="2"/>
          </rPr>
          <t>Operation: 5
Gains: 15</t>
        </r>
      </text>
    </comment>
    <comment ref="M34" authorId="0">
      <text>
        <r>
          <rPr>
            <b/>
            <sz val="8"/>
            <color indexed="81"/>
            <rFont val="Tahoma"/>
            <family val="2"/>
          </rPr>
          <t>Operation: 28
Gain from sale of real estate: 125</t>
        </r>
      </text>
    </comment>
    <comment ref="R34" authorId="1">
      <text>
        <r>
          <rPr>
            <b/>
            <sz val="10"/>
            <color indexed="81"/>
            <rFont val="Tahoma"/>
            <family val="2"/>
          </rPr>
          <t>Operations: 5
Reversal of
provisions: 9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  <family val="2"/>
          </rPr>
          <t>Guidance 2003:
Break-even EBITDA</t>
        </r>
      </text>
    </comment>
    <comment ref="M36" authorId="0">
      <text>
        <r>
          <rPr>
            <b/>
            <sz val="8"/>
            <color indexed="81"/>
            <rFont val="Tahoma"/>
            <family val="2"/>
          </rPr>
          <t>NKT Integration: (36)
Development: (45)
Guidance 2003: +/- (70)</t>
        </r>
      </text>
    </comment>
    <comment ref="S36" authorId="1">
      <text>
        <r>
          <rPr>
            <b/>
            <sz val="8"/>
            <color indexed="81"/>
            <rFont val="Tahoma"/>
            <family val="2"/>
          </rPr>
          <t>NKT Integration: (46)
Development: (30)
Guidance 2004: +/- (60)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b/>
            <u/>
            <sz val="8"/>
            <color indexed="81"/>
            <rFont val="Tahoma"/>
            <family val="2"/>
          </rPr>
          <t>Continued business</t>
        </r>
        <r>
          <rPr>
            <b/>
            <sz val="8"/>
            <color indexed="81"/>
            <rFont val="Tahoma"/>
            <family val="2"/>
          </rPr>
          <t xml:space="preserve">
SMB: (12)
Cantion: (8)
</t>
        </r>
        <r>
          <rPr>
            <b/>
            <u/>
            <sz val="8"/>
            <color indexed="81"/>
            <rFont val="Tahoma"/>
            <family val="2"/>
          </rPr>
          <t>Discontinued business</t>
        </r>
        <r>
          <rPr>
            <b/>
            <sz val="8"/>
            <color indexed="81"/>
            <rFont val="Tahoma"/>
            <family val="2"/>
          </rPr>
          <t xml:space="preserve">
PicoSep: (7)
Watech: (3)
NST: (29)
Novator: (10)</t>
        </r>
      </text>
    </comment>
    <comment ref="O38" authorId="1">
      <text>
        <r>
          <rPr>
            <b/>
            <sz val="10"/>
            <color indexed="81"/>
            <rFont val="Tahoma"/>
            <family val="2"/>
          </rPr>
          <t>Operation: (3)
Gain on Watech
divestment: 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8" authorId="1">
      <text>
        <r>
          <rPr>
            <b/>
            <sz val="10"/>
            <color indexed="81"/>
            <rFont val="Tahoma"/>
            <family val="2"/>
          </rPr>
          <t>Opertation: (6)
Gain on SMB
divestment: +20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<sst xmlns="http://schemas.openxmlformats.org/spreadsheetml/2006/main" count="979" uniqueCount="219">
  <si>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</si>
  <si>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</si>
  <si>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</si>
  <si>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</si>
  <si>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</si>
  <si>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</si>
  <si>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</si>
  <si>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</si>
  <si>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</si>
  <si>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</si>
  <si>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</si>
  <si>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</si>
  <si>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</si>
  <si>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</si>
  <si>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</si>
  <si>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</si>
  <si>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Share Capital</t>
  </si>
  <si>
    <t>Total Assets</t>
  </si>
  <si>
    <t>Capital Employed</t>
  </si>
  <si>
    <t>Key figures</t>
  </si>
  <si>
    <t>Equity ratio</t>
  </si>
  <si>
    <t>Number of 20 DKK shares ('000)</t>
  </si>
  <si>
    <t>Market price, DKK per share</t>
  </si>
  <si>
    <t>Equity value, DKK per share</t>
  </si>
  <si>
    <t>Dividend paid, DKK per share</t>
  </si>
  <si>
    <t>Earnings per share (EPS), DKK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</si>
  <si>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</si>
  <si>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</si>
  <si>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</si>
  <si>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</si>
  <si>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</si>
  <si>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</si>
  <si>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</si>
  <si>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</si>
  <si>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</si>
  <si>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</si>
  <si>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Other investment, etc</t>
  </si>
  <si>
    <t>Own shares / share options</t>
  </si>
  <si>
    <t>Change in interest-bearing items</t>
  </si>
  <si>
    <t>Net interestbearing items, ending balance</t>
  </si>
  <si>
    <t>Nilfisk-Advance</t>
  </si>
  <si>
    <t>Priorparken</t>
  </si>
  <si>
    <t>NKT Flexibles</t>
  </si>
  <si>
    <t>Parent company and eliminations</t>
  </si>
  <si>
    <t>Capital employed</t>
  </si>
  <si>
    <t>Paid to / Received from minority interests</t>
  </si>
  <si>
    <t>NKT Holding A/S</t>
  </si>
  <si>
    <t>Other companies</t>
  </si>
  <si>
    <t>EBITDA% - Group</t>
  </si>
  <si>
    <t xml:space="preserve"> - Nilfisk-Advance</t>
  </si>
  <si>
    <t>in quarters</t>
  </si>
  <si>
    <t>Treasury shares ('000)</t>
  </si>
  <si>
    <t>Outstanding shares (´000)</t>
  </si>
  <si>
    <t>EBITDA (Last 12 months)</t>
  </si>
  <si>
    <t>Gain Submarine plant</t>
  </si>
  <si>
    <t>Real estate gains</t>
  </si>
  <si>
    <t>Restructuring provisions</t>
  </si>
  <si>
    <t>Industrial aktivities</t>
  </si>
  <si>
    <t>Technology activities</t>
  </si>
  <si>
    <t>Valuation</t>
  </si>
  <si>
    <t>EBITA% - Group</t>
  </si>
  <si>
    <t>The following pages are intended to summarize previously released financial information.</t>
  </si>
  <si>
    <t>Cashflow</t>
  </si>
  <si>
    <t>Other gains etc</t>
  </si>
  <si>
    <t>Shareholder Equity (NKT shareholder)</t>
  </si>
  <si>
    <t>Acquisitions / Divestments</t>
  </si>
  <si>
    <t>Deconsolidation NKT Flexibles</t>
  </si>
  <si>
    <t>Currency translation etc</t>
  </si>
  <si>
    <t>Total Equity</t>
  </si>
  <si>
    <t>Equity, opening balance</t>
  </si>
  <si>
    <t>Equity, ending balance</t>
  </si>
  <si>
    <t>Amortizations (Goodwill)</t>
  </si>
  <si>
    <t>Depreciation (TFA)</t>
  </si>
  <si>
    <t>Amortization (R&amp;D etc.)</t>
  </si>
  <si>
    <t>Provisions (long term)</t>
  </si>
  <si>
    <t>*) adj. for non-rucurring items 2005 and onwards</t>
  </si>
  <si>
    <t>Annualizing acquisitions.</t>
  </si>
  <si>
    <t>Gearing</t>
  </si>
  <si>
    <t xml:space="preserve"> </t>
  </si>
  <si>
    <t xml:space="preserve">  </t>
  </si>
  <si>
    <t>Q1-02</t>
  </si>
  <si>
    <t>Q2-02</t>
  </si>
  <si>
    <t>Q3-02</t>
  </si>
  <si>
    <t>Q4-02</t>
  </si>
  <si>
    <t>Q1-03</t>
  </si>
  <si>
    <t>Q2-03</t>
  </si>
  <si>
    <t>Q3-03</t>
  </si>
  <si>
    <t>Q4-03</t>
  </si>
  <si>
    <t>Q1-04</t>
  </si>
  <si>
    <t>Q2-04</t>
  </si>
  <si>
    <t>Q3-04</t>
  </si>
  <si>
    <t>Q4-04</t>
  </si>
  <si>
    <t>Q1-05</t>
  </si>
  <si>
    <t>Q2-06</t>
  </si>
  <si>
    <t>Q3-07</t>
  </si>
  <si>
    <t>Q2-05</t>
  </si>
  <si>
    <t>Q3-05</t>
  </si>
  <si>
    <t>Q4-06</t>
  </si>
  <si>
    <t>Q4-05</t>
  </si>
  <si>
    <t>Q1-06</t>
  </si>
  <si>
    <t>Q3-06</t>
  </si>
  <si>
    <t>Q1-07</t>
  </si>
  <si>
    <t>Q2-07</t>
  </si>
  <si>
    <t>LTM Revenue</t>
  </si>
  <si>
    <t>Dividend from NKT Flexibles</t>
  </si>
  <si>
    <t>RoCE% (Last 12 months) - Group *)</t>
  </si>
  <si>
    <t>Revenue, market</t>
  </si>
  <si>
    <t>Revenue, standard</t>
  </si>
  <si>
    <t>Q4-07</t>
  </si>
  <si>
    <t xml:space="preserve"> - NKT Cables *)</t>
  </si>
  <si>
    <t>Q1-08</t>
  </si>
  <si>
    <t>Parent company, other and eliminations</t>
  </si>
  <si>
    <t>Q2-08</t>
  </si>
  <si>
    <t>LTM Revenue, std.</t>
  </si>
  <si>
    <t>Q3-08</t>
  </si>
  <si>
    <t xml:space="preserve"> - NKT Cables, market prices</t>
  </si>
  <si>
    <t xml:space="preserve"> - NKT Cables, standard prices</t>
  </si>
  <si>
    <t>Q4-08</t>
  </si>
  <si>
    <t>In the event of any questions regarding interpretations of the content of the financial information</t>
  </si>
  <si>
    <r>
      <t>Key Figures</t>
    </r>
    <r>
      <rPr>
        <sz val="20"/>
        <rFont val="Arial Narrow"/>
        <family val="2"/>
      </rPr>
      <t xml:space="preserve"> (unaudited)</t>
    </r>
  </si>
  <si>
    <t>IFRS</t>
  </si>
  <si>
    <t>Write downs &amp; Impairments</t>
  </si>
  <si>
    <t>Impairments (Goodwill)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</si>
  <si>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</si>
  <si>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</si>
  <si>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</si>
  <si>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</si>
  <si>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</si>
  <si>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</si>
  <si>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</si>
  <si>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</si>
  <si>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</si>
  <si>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</si>
  <si>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</si>
  <si>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</si>
  <si>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</si>
  <si>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Own shares/share options etc.</t>
  </si>
  <si>
    <t>Financial items, net</t>
  </si>
  <si>
    <t>Discontinued operation</t>
  </si>
  <si>
    <t xml:space="preserve">Change in working capital, </t>
  </si>
  <si>
    <t>Cash flows from operations</t>
  </si>
  <si>
    <t>Acquisition and disposal of tangible assets</t>
  </si>
  <si>
    <t>Cash flows from investment activites</t>
  </si>
  <si>
    <t>Total operating and investing activities</t>
  </si>
  <si>
    <t>DK GAAP</t>
  </si>
  <si>
    <t>NKT Cables, market prices</t>
  </si>
  <si>
    <t>Photonics Group</t>
  </si>
  <si>
    <t>NKT Cables, standard prices **)</t>
  </si>
  <si>
    <t>NKT Cables</t>
  </si>
  <si>
    <t xml:space="preserve">NKT Cables </t>
  </si>
  <si>
    <t>Q1-09</t>
  </si>
  <si>
    <t>Q2-09</t>
  </si>
  <si>
    <t>Q3-09</t>
  </si>
  <si>
    <t>Disclaimer:</t>
  </si>
  <si>
    <t>NIBD/operational EBITDA</t>
  </si>
  <si>
    <t>Adjustments: (LTM)</t>
  </si>
  <si>
    <t>Operational EBITDA (LTM)</t>
  </si>
  <si>
    <t>Q4-09</t>
  </si>
  <si>
    <t>Total shareholders equity, after adjustments</t>
  </si>
  <si>
    <t>EV / Operational EBITDA (Total)</t>
  </si>
  <si>
    <t>EV / Operational EBITDA (Industrial activities)</t>
  </si>
  <si>
    <t xml:space="preserve">  non-cash operatiing items etc.</t>
  </si>
  <si>
    <t>Q1-10</t>
  </si>
  <si>
    <t>Q2-10</t>
  </si>
  <si>
    <t>Q3-10</t>
  </si>
  <si>
    <t>Paid to minority interests</t>
  </si>
  <si>
    <t>Q4-10</t>
  </si>
  <si>
    <t>Q1-11</t>
  </si>
  <si>
    <t>NKT Flexibles (share of profit)</t>
  </si>
  <si>
    <t>Q2-11</t>
  </si>
  <si>
    <t>NKT Flexibles (NKT share)</t>
  </si>
  <si>
    <t>Non-current credit institutions</t>
  </si>
  <si>
    <t>Current credit institutions</t>
  </si>
  <si>
    <t>Q3-11</t>
  </si>
  <si>
    <t>Q4-11</t>
  </si>
  <si>
    <t>Assets held for sale</t>
  </si>
  <si>
    <t>Net interest bearing assets/(debt)</t>
  </si>
  <si>
    <t>Q1-12</t>
  </si>
  <si>
    <t>Q2-12</t>
  </si>
  <si>
    <t>Q3-12</t>
  </si>
  <si>
    <t>Q4-12</t>
  </si>
  <si>
    <t>Dividend paid (adopted at AGM)</t>
  </si>
  <si>
    <t>Net interest bearing items, opening balance</t>
  </si>
  <si>
    <t>Discontinued operation, NKT Flexibles</t>
  </si>
  <si>
    <t>Operational EBITDA LTM, Group</t>
  </si>
  <si>
    <t>Operational EBITDA LTM, NKT Flexibles</t>
  </si>
  <si>
    <t>Oper. EBITDA% LTM (Continued oper.)</t>
  </si>
  <si>
    <t>Oper. EBITDA% LTM, std. (Continued oper.)</t>
  </si>
  <si>
    <t>Actuarial gain/loss defined benefit obligations pensions</t>
  </si>
  <si>
    <t>Q1-13</t>
  </si>
  <si>
    <t>Q2-13</t>
  </si>
  <si>
    <t>Q3-13</t>
  </si>
  <si>
    <t>Q4-13</t>
  </si>
  <si>
    <t>2001 to 2014</t>
  </si>
  <si>
    <t>Q1-14</t>
  </si>
  <si>
    <t>Q2-14</t>
  </si>
  <si>
    <t>Q3-14</t>
  </si>
  <si>
    <t>NKT Holding A/S releases financial information via Nasdaq Copenhagen.</t>
  </si>
  <si>
    <t>contained on the following pages, the information released to Nasdaq Copenhagen shall prevail.</t>
  </si>
  <si>
    <t>Total Revenue, standard prices</t>
  </si>
  <si>
    <t>Q4-14</t>
  </si>
  <si>
    <t>Oper. EBITDA% - Group, std. prices</t>
  </si>
  <si>
    <t xml:space="preserve"> - NKT Cables, std. prices</t>
  </si>
  <si>
    <t xml:space="preserve"> - Photonics Group</t>
  </si>
  <si>
    <t xml:space="preserve"> - Nilfisk</t>
  </si>
  <si>
    <t>**) Standard metalprices at 1,550 EUR/tonne for Copper and 1,350 EUR/tonne for Aluminium</t>
  </si>
  <si>
    <t>Operational EBITDA *)</t>
  </si>
  <si>
    <t>Income Statement (DKKm)</t>
  </si>
  <si>
    <t>Balance Sheet (DKKm)</t>
  </si>
  <si>
    <t>Cash flow (DKKm)</t>
  </si>
  <si>
    <t>Segment Data (DKKm)</t>
  </si>
  <si>
    <t>Nilfisk</t>
  </si>
  <si>
    <t xml:space="preserve"> - Nilfisk *)</t>
  </si>
  <si>
    <t>Valuation (DKKm)</t>
  </si>
  <si>
    <t>Enterprise Value (DKKm)</t>
  </si>
  <si>
    <t>Oper. EBITDA LTM DKKm (Continued oper.)</t>
  </si>
  <si>
    <t>Market capitalization (DKKm)</t>
  </si>
  <si>
    <t>Minority interests (DKKm)</t>
  </si>
  <si>
    <t>Net interest bearing debt (DKKm)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</si>
</sst>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</numFmts>
  <fonts count="18">
    <font>
      <sz val="10"/>
      <name val="Arial"/>
    </font>
    <font>
      <sz val="10"/>
      <name val="Arial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u/>
      <sz val="10"/>
      <name val="Arial Narrow"/>
      <family val="2"/>
    </font>
    <font>
      <sz val="36"/>
      <name val="Arial Narrow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8"/>
      <name val="Arial"/>
      <family val="2"/>
    </font>
    <font>
      <b/>
      <u/>
      <sz val="10"/>
      <color indexed="9"/>
      <name val="Arial Narrow"/>
      <family val="2"/>
    </font>
    <font>
      <sz val="20"/>
      <name val="Arial Narrow"/>
      <family val="2"/>
    </font>
    <font>
      <sz val="10"/>
      <name val="Arial"/>
      <family val="2"/>
    </font>
    <font>
      <b/>
      <u/>
      <sz val="10"/>
      <color theme="0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/>
    <xf numFmtId="0" fontId="2" fillId="0" borderId="0" xfId="0" applyFont="1" applyFill="1"/>
    <xf numFmtId="0" fontId="3" fillId="0" borderId="0" xfId="0" applyFont="1" applyFill="1" applyBorder="1"/>
    <xf numFmtId="0" fontId="4" fillId="0" borderId="0" xfId="0" applyFont="1"/>
    <xf numFmtId="0" fontId="3" fillId="2" borderId="0" xfId="0" applyFont="1" applyFill="1"/>
    <xf numFmtId="0" fontId="3" fillId="0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/>
    <xf numFmtId="0" fontId="5" fillId="0" borderId="0" xfId="0" applyFont="1"/>
    <xf numFmtId="0" fontId="3" fillId="0" borderId="0" xfId="0" applyFont="1"/>
    <xf numFmtId="0" fontId="3" fillId="0" borderId="1" xfId="0" applyFont="1" applyBorder="1"/>
    <xf numFmtId="37" fontId="4" fillId="0" borderId="0" xfId="0" applyNumberFormat="1" applyFont="1"/>
    <xf numFmtId="37" fontId="3" fillId="2" borderId="0" xfId="0" applyNumberFormat="1" applyFont="1" applyFill="1"/>
    <xf numFmtId="37" fontId="3" fillId="0" borderId="0" xfId="0" applyNumberFormat="1" applyFont="1" applyFill="1" applyBorder="1"/>
    <xf numFmtId="37" fontId="3" fillId="0" borderId="1" xfId="0" applyNumberFormat="1" applyFont="1" applyBorder="1"/>
    <xf numFmtId="37" fontId="3" fillId="2" borderId="1" xfId="0" applyNumberFormat="1" applyFont="1" applyFill="1" applyBorder="1"/>
    <xf numFmtId="37" fontId="3" fillId="0" borderId="0" xfId="0" applyNumberFormat="1" applyFont="1"/>
    <xf numFmtId="37" fontId="4" fillId="0" borderId="2" xfId="0" applyNumberFormat="1" applyFont="1" applyBorder="1"/>
    <xf numFmtId="37" fontId="3" fillId="2" borderId="2" xfId="0" applyNumberFormat="1" applyFont="1" applyFill="1" applyBorder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0" xfId="0" applyFont="1"/>
    <xf numFmtId="0" fontId="4" fillId="0" borderId="0" xfId="0" applyFont="1" applyBorder="1"/>
    <xf numFmtId="37" fontId="4" fillId="0" borderId="1" xfId="0" applyNumberFormat="1" applyFont="1" applyBorder="1"/>
    <xf numFmtId="9" fontId="4" fillId="0" borderId="0" xfId="2" applyFont="1"/>
    <xf numFmtId="9" fontId="3" fillId="0" borderId="0" xfId="2" applyFont="1"/>
    <xf numFmtId="9" fontId="3" fillId="0" borderId="0" xfId="2" applyFont="1" applyFill="1" applyBorder="1"/>
    <xf numFmtId="165" fontId="4" fillId="0" borderId="0" xfId="0" applyNumberFormat="1" applyFont="1"/>
    <xf numFmtId="165" fontId="3" fillId="2" borderId="0" xfId="0" applyNumberFormat="1" applyFont="1" applyFill="1"/>
    <xf numFmtId="165" fontId="3" fillId="0" borderId="0" xfId="0" applyNumberFormat="1" applyFont="1" applyFill="1" applyBorder="1"/>
    <xf numFmtId="37" fontId="3" fillId="0" borderId="2" xfId="0" applyNumberFormat="1" applyFont="1" applyBorder="1"/>
    <xf numFmtId="37" fontId="3" fillId="0" borderId="3" xfId="0" applyNumberFormat="1" applyFont="1" applyBorder="1"/>
    <xf numFmtId="37" fontId="3" fillId="2" borderId="3" xfId="0" applyNumberFormat="1" applyFont="1" applyFill="1" applyBorder="1"/>
    <xf numFmtId="0" fontId="3" fillId="0" borderId="0" xfId="0" applyFont="1" applyBorder="1"/>
    <xf numFmtId="166" fontId="3" fillId="0" borderId="0" xfId="2" applyNumberFormat="1" applyFont="1" applyBorder="1"/>
    <xf numFmtId="166" fontId="3" fillId="2" borderId="0" xfId="2" applyNumberFormat="1" applyFont="1" applyFill="1" applyBorder="1"/>
    <xf numFmtId="166" fontId="3" fillId="0" borderId="0" xfId="2" applyNumberFormat="1" applyFont="1" applyFill="1" applyBorder="1"/>
    <xf numFmtId="1" fontId="4" fillId="0" borderId="0" xfId="0" applyNumberFormat="1" applyFont="1"/>
    <xf numFmtId="1" fontId="3" fillId="0" borderId="3" xfId="0" applyNumberFormat="1" applyFont="1" applyBorder="1"/>
    <xf numFmtId="167" fontId="4" fillId="0" borderId="0" xfId="0" applyNumberFormat="1" applyFont="1"/>
    <xf numFmtId="0" fontId="3" fillId="2" borderId="0" xfId="0" applyFont="1" applyFill="1" applyAlignment="1">
      <alignment horizontal="right"/>
    </xf>
    <xf numFmtId="0" fontId="4" fillId="0" borderId="0" xfId="0" applyNumberFormat="1" applyFont="1"/>
    <xf numFmtId="10" fontId="4" fillId="0" borderId="0" xfId="0" applyNumberFormat="1" applyFont="1"/>
    <xf numFmtId="9" fontId="4" fillId="0" borderId="0" xfId="0" applyNumberFormat="1" applyFont="1"/>
    <xf numFmtId="37" fontId="3" fillId="0" borderId="0" xfId="0" applyNumberFormat="1" applyFont="1" applyBorder="1"/>
    <xf numFmtId="37" fontId="4" fillId="0" borderId="0" xfId="0" applyNumberFormat="1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167" fontId="4" fillId="0" borderId="0" xfId="0" applyNumberFormat="1" applyFont="1" applyBorder="1"/>
    <xf numFmtId="0" fontId="4" fillId="0" borderId="0" xfId="0" applyFont="1" applyAlignment="1">
      <alignment horizontal="center"/>
    </xf>
    <xf numFmtId="37" fontId="4" fillId="2" borderId="0" xfId="0" applyNumberFormat="1" applyFont="1" applyFill="1" applyBorder="1"/>
    <xf numFmtId="168" fontId="4" fillId="0" borderId="0" xfId="1" applyNumberFormat="1" applyFont="1"/>
    <xf numFmtId="37" fontId="4" fillId="0" borderId="0" xfId="0" applyNumberFormat="1" applyFont="1" applyFill="1" applyBorder="1"/>
    <xf numFmtId="37" fontId="0" fillId="0" borderId="0" xfId="0" applyNumberFormat="1"/>
    <xf numFmtId="166" fontId="0" fillId="0" borderId="0" xfId="2" applyNumberFormat="1" applyFont="1"/>
    <xf numFmtId="37" fontId="4" fillId="0" borderId="0" xfId="0" applyNumberFormat="1" applyFont="1" applyFill="1"/>
    <xf numFmtId="37" fontId="3" fillId="2" borderId="0" xfId="0" applyNumberFormat="1" applyFont="1" applyFill="1" applyBorder="1"/>
    <xf numFmtId="37" fontId="4" fillId="2" borderId="0" xfId="0" applyNumberFormat="1" applyFont="1" applyFill="1"/>
    <xf numFmtId="37" fontId="3" fillId="0" borderId="1" xfId="0" applyNumberFormat="1" applyFont="1" applyFill="1" applyBorder="1"/>
    <xf numFmtId="0" fontId="3" fillId="0" borderId="1" xfId="0" applyFont="1" applyFill="1" applyBorder="1"/>
    <xf numFmtId="0" fontId="4" fillId="0" borderId="0" xfId="0" applyFont="1" applyAlignment="1">
      <alignment wrapText="1"/>
    </xf>
    <xf numFmtId="0" fontId="4" fillId="0" borderId="0" xfId="0" applyFont="1" applyFill="1" applyBorder="1"/>
    <xf numFmtId="1" fontId="4" fillId="0" borderId="0" xfId="0" applyNumberFormat="1" applyFont="1" applyFill="1" applyBorder="1"/>
    <xf numFmtId="37" fontId="3" fillId="0" borderId="3" xfId="0" applyNumberFormat="1" applyFont="1" applyFill="1" applyBorder="1"/>
    <xf numFmtId="1" fontId="3" fillId="0" borderId="0" xfId="0" applyNumberFormat="1" applyFont="1" applyFill="1" applyBorder="1"/>
    <xf numFmtId="10" fontId="4" fillId="0" borderId="0" xfId="0" applyNumberFormat="1" applyFont="1" applyFill="1"/>
    <xf numFmtId="167" fontId="4" fillId="0" borderId="0" xfId="0" applyNumberFormat="1" applyFont="1" applyFill="1"/>
    <xf numFmtId="167" fontId="4" fillId="0" borderId="0" xfId="0" applyNumberFormat="1" applyFont="1" applyFill="1" applyBorder="1"/>
    <xf numFmtId="37" fontId="0" fillId="0" borderId="0" xfId="0" applyNumberFormat="1" applyFill="1"/>
    <xf numFmtId="37" fontId="4" fillId="3" borderId="0" xfId="0" applyNumberFormat="1" applyFont="1" applyFill="1" applyBorder="1"/>
    <xf numFmtId="37" fontId="4" fillId="0" borderId="2" xfId="0" applyNumberFormat="1" applyFont="1" applyFill="1" applyBorder="1"/>
    <xf numFmtId="0" fontId="7" fillId="0" borderId="0" xfId="0" applyFont="1" applyAlignment="1">
      <alignment horizontal="center"/>
    </xf>
    <xf numFmtId="37" fontId="3" fillId="0" borderId="0" xfId="0" applyNumberFormat="1" applyFont="1" applyFill="1"/>
    <xf numFmtId="0" fontId="7" fillId="0" borderId="0" xfId="0" applyFont="1" applyAlignment="1"/>
    <xf numFmtId="0" fontId="13" fillId="4" borderId="0" xfId="0" applyFont="1" applyFill="1" applyAlignment="1">
      <alignment horizontal="right"/>
    </xf>
    <xf numFmtId="37" fontId="3" fillId="0" borderId="0" xfId="0" quotePrefix="1" applyNumberFormat="1" applyFont="1"/>
    <xf numFmtId="37" fontId="15" fillId="0" borderId="0" xfId="0" quotePrefix="1" applyNumberFormat="1" applyFont="1"/>
    <xf numFmtId="37" fontId="4" fillId="0" borderId="0" xfId="0" quotePrefix="1" applyNumberFormat="1" applyFont="1"/>
    <xf numFmtId="165" fontId="4" fillId="0" borderId="0" xfId="0" applyNumberFormat="1" applyFont="1" applyFill="1"/>
    <xf numFmtId="168" fontId="4" fillId="0" borderId="0" xfId="1" applyNumberFormat="1" applyFont="1" applyFill="1"/>
    <xf numFmtId="37" fontId="4" fillId="4" borderId="0" xfId="0" applyNumberFormat="1" applyFont="1" applyFill="1"/>
    <xf numFmtId="37" fontId="4" fillId="4" borderId="2" xfId="0" applyNumberFormat="1" applyFont="1" applyFill="1" applyBorder="1"/>
    <xf numFmtId="9" fontId="4" fillId="4" borderId="0" xfId="2" applyFont="1" applyFill="1"/>
    <xf numFmtId="0" fontId="4" fillId="4" borderId="0" xfId="0" applyFont="1" applyFill="1"/>
    <xf numFmtId="165" fontId="4" fillId="4" borderId="0" xfId="0" applyNumberFormat="1" applyFont="1" applyFill="1"/>
    <xf numFmtId="37" fontId="4" fillId="4" borderId="0" xfId="0" applyNumberFormat="1" applyFont="1" applyFill="1" applyBorder="1"/>
    <xf numFmtId="37" fontId="3" fillId="4" borderId="1" xfId="0" applyNumberFormat="1" applyFont="1" applyFill="1" applyBorder="1"/>
    <xf numFmtId="9" fontId="4" fillId="0" borderId="0" xfId="2" applyFont="1" applyFill="1"/>
    <xf numFmtId="1" fontId="4" fillId="0" borderId="0" xfId="0" applyNumberFormat="1" applyFont="1" applyFill="1"/>
    <xf numFmtId="37" fontId="3" fillId="0" borderId="4" xfId="0" applyNumberFormat="1" applyFont="1" applyBorder="1"/>
    <xf numFmtId="37" fontId="3" fillId="2" borderId="4" xfId="0" applyNumberFormat="1" applyFont="1" applyFill="1" applyBorder="1"/>
    <xf numFmtId="37" fontId="3" fillId="0" borderId="4" xfId="0" applyNumberFormat="1" applyFont="1" applyFill="1" applyBorder="1"/>
    <xf numFmtId="168" fontId="4" fillId="0" borderId="0" xfId="0" applyNumberFormat="1" applyFont="1"/>
    <xf numFmtId="37" fontId="3" fillId="4" borderId="0" xfId="0" applyNumberFormat="1" applyFont="1" applyFill="1" applyBorder="1"/>
    <xf numFmtId="168" fontId="3" fillId="0" borderId="0" xfId="1" applyNumberFormat="1" applyFont="1" applyBorder="1"/>
    <xf numFmtId="164" fontId="4" fillId="0" borderId="0" xfId="1" applyFont="1"/>
    <xf numFmtId="169" fontId="4" fillId="0" borderId="0" xfId="0" applyNumberFormat="1" applyFont="1"/>
    <xf numFmtId="37" fontId="4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Fill="1"/>
    <xf numFmtId="37" fontId="4" fillId="0" borderId="1" xfId="0" applyNumberFormat="1" applyFont="1" applyFill="1" applyBorder="1"/>
    <xf numFmtId="0" fontId="16" fillId="5" borderId="0" xfId="0" applyFont="1" applyFill="1" applyAlignment="1">
      <alignment horizontal="right"/>
    </xf>
    <xf numFmtId="0" fontId="17" fillId="0" borderId="0" xfId="0" applyFont="1" applyFill="1"/>
    <xf numFmtId="0" fontId="4" fillId="6" borderId="0" xfId="0" applyFont="1" applyFill="1"/>
    <xf numFmtId="170" fontId="4" fillId="0" borderId="0" xfId="0" applyNumberFormat="1" applyFont="1"/>
    <xf numFmtId="37" fontId="3" fillId="7" borderId="0" xfId="0" applyNumberFormat="1" applyFont="1" applyFill="1"/>
    <xf numFmtId="37" fontId="3" fillId="7" borderId="1" xfId="0" applyNumberFormat="1" applyFont="1" applyFill="1" applyBorder="1"/>
    <xf numFmtId="166" fontId="3" fillId="7" borderId="0" xfId="2" applyNumberFormat="1" applyFont="1" applyFill="1" applyBorder="1"/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0937532808398975"/>
          <c:y val="0.11776527934008275"/>
          <c:w val="0.77257075427713062"/>
          <c:h val="0.62034000983184889"/>
        </c:manualLayout>
      </c:layout>
      <c:barChart>
        <c:barDir val="col"/>
        <c:grouping val="clustered"/>
        <c:ser>
          <c:idx val="1"/>
          <c:order val="0"/>
          <c:tx>
            <c:strRef>
              <c:f>'EBITDA udvikling'!$A$4</c:f>
              <c:strCache>
                <c:ptCount val="1"/>
                <c:pt idx="0">
                  <c:v>Oper. EBITDA LTM DKKm (Continued oper.)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dLbls>
            <c:txPr>
              <a:bodyPr rot="-5400000" vert="horz"/>
              <a:lstStyle/>
              <a:p>
                <a:pPr algn="ctr">
                  <a:defRPr sz="9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dLblPos val="inBase"/>
            <c:showVal val="1"/>
          </c:dLbls>
          <c:cat>
            <c:strRef>
              <c:f>'EBITDA udvikling'!$AP$3:$BM$3</c:f>
              <c:strCache>
                <c:ptCount val="24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</c:strCache>
            </c:strRef>
          </c:cat>
          <c:val>
            <c:numRef>
              <c:f>'EBITDA udvikling'!$AP$4:$BM$4</c:f>
              <c:numCache>
                <c:formatCode>#,##0;\-#,##0</c:formatCode>
                <c:ptCount val="24"/>
                <c:pt idx="0">
                  <c:v>908</c:v>
                </c:pt>
                <c:pt idx="1">
                  <c:v>916</c:v>
                </c:pt>
                <c:pt idx="2">
                  <c:v>951</c:v>
                </c:pt>
                <c:pt idx="3">
                  <c:v>895</c:v>
                </c:pt>
                <c:pt idx="5">
                  <c:v>869</c:v>
                </c:pt>
                <c:pt idx="6">
                  <c:v>808</c:v>
                </c:pt>
                <c:pt idx="7">
                  <c:v>775</c:v>
                </c:pt>
                <c:pt idx="8">
                  <c:v>878</c:v>
                </c:pt>
                <c:pt idx="10">
                  <c:v>914</c:v>
                </c:pt>
                <c:pt idx="11">
                  <c:v>956</c:v>
                </c:pt>
                <c:pt idx="12">
                  <c:v>981</c:v>
                </c:pt>
                <c:pt idx="13">
                  <c:v>1039</c:v>
                </c:pt>
                <c:pt idx="15">
                  <c:v>1026</c:v>
                </c:pt>
                <c:pt idx="16">
                  <c:v>1068</c:v>
                </c:pt>
                <c:pt idx="17">
                  <c:v>1073</c:v>
                </c:pt>
                <c:pt idx="18">
                  <c:v>1085</c:v>
                </c:pt>
                <c:pt idx="20">
                  <c:v>1122</c:v>
                </c:pt>
                <c:pt idx="21">
                  <c:v>1166</c:v>
                </c:pt>
                <c:pt idx="22">
                  <c:v>1180</c:v>
                </c:pt>
                <c:pt idx="23">
                  <c:v>1269</c:v>
                </c:pt>
              </c:numCache>
            </c:numRef>
          </c:val>
        </c:ser>
        <c:gapWidth val="40"/>
        <c:axId val="102961152"/>
        <c:axId val="102961920"/>
      </c:barChart>
      <c:lineChart>
        <c:grouping val="standard"/>
        <c:ser>
          <c:idx val="0"/>
          <c:order val="1"/>
          <c:tx>
            <c:strRef>
              <c:f>'EBITDA udvikling'!$A$5</c:f>
              <c:strCache>
                <c:ptCount val="1"/>
                <c:pt idx="0">
                  <c:v>Oper. EBITDA% LTM (Continued oper.)</c:v>
                </c:pt>
              </c:strCache>
            </c:strRef>
          </c:tx>
          <c:spPr>
            <a:ln w="12700">
              <a:solidFill>
                <a:srgbClr val="60C3AD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60C3AD"/>
              </a:solidFill>
              <a:ln>
                <a:solidFill>
                  <a:srgbClr val="60C3AD"/>
                </a:solidFill>
              </a:ln>
            </c:spPr>
          </c:marker>
          <c:cat>
            <c:strRef>
              <c:f>'EBITDA udvikling'!$AP$3:$BM$3</c:f>
              <c:strCache>
                <c:ptCount val="24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</c:strCache>
            </c:strRef>
          </c:cat>
          <c:val>
            <c:numRef>
              <c:f>'EBITDA udvikling'!$AP$5:$BM$5</c:f>
              <c:numCache>
                <c:formatCode>0.0%</c:formatCode>
                <c:ptCount val="24"/>
                <c:pt idx="0">
                  <c:v>7.4954597985801549E-2</c:v>
                </c:pt>
                <c:pt idx="1">
                  <c:v>7.2669575565251887E-2</c:v>
                </c:pt>
                <c:pt idx="2">
                  <c:v>7.124129148250806E-2</c:v>
                </c:pt>
                <c:pt idx="3">
                  <c:v>6.1933430212442048E-2</c:v>
                </c:pt>
                <c:pt idx="5">
                  <c:v>5.7306779213927725E-2</c:v>
                </c:pt>
                <c:pt idx="6">
                  <c:v>5.198147195059187E-2</c:v>
                </c:pt>
                <c:pt idx="7">
                  <c:v>4.9265780942088867E-2</c:v>
                </c:pt>
                <c:pt idx="8">
                  <c:v>5.6267623686234301E-2</c:v>
                </c:pt>
                <c:pt idx="10">
                  <c:v>5.9501334548531994E-2</c:v>
                </c:pt>
                <c:pt idx="11">
                  <c:v>6.2692635582661152E-2</c:v>
                </c:pt>
                <c:pt idx="12">
                  <c:v>6.4739655513759653E-2</c:v>
                </c:pt>
                <c:pt idx="13">
                  <c:v>6.8117747328394415E-2</c:v>
                </c:pt>
                <c:pt idx="15">
                  <c:v>6.7362615717943664E-2</c:v>
                </c:pt>
                <c:pt idx="16">
                  <c:v>6.9508623494956068E-2</c:v>
                </c:pt>
                <c:pt idx="17">
                  <c:v>6.8667605273262516E-2</c:v>
                </c:pt>
                <c:pt idx="18">
                  <c:v>6.8631792017205387E-2</c:v>
                </c:pt>
                <c:pt idx="20">
                  <c:v>6.9409217445097426E-2</c:v>
                </c:pt>
                <c:pt idx="21">
                  <c:v>7.2175796966883324E-2</c:v>
                </c:pt>
                <c:pt idx="22">
                  <c:v>7.3639540688966554E-2</c:v>
                </c:pt>
                <c:pt idx="23">
                  <c:v>7.9997478408875999E-2</c:v>
                </c:pt>
              </c:numCache>
            </c:numRef>
          </c:val>
        </c:ser>
        <c:ser>
          <c:idx val="2"/>
          <c:order val="2"/>
          <c:tx>
            <c:strRef>
              <c:f>'EBITDA udvikling'!$A$6</c:f>
              <c:strCache>
                <c:ptCount val="1"/>
                <c:pt idx="0">
                  <c:v>Oper. EBITDA% LTM, std. (Continued oper.)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accent4"/>
              </a:solidFill>
              <a:ln>
                <a:solidFill>
                  <a:schemeClr val="accent4"/>
                </a:solidFill>
                <a:prstDash val="solid"/>
              </a:ln>
            </c:spPr>
          </c:marker>
          <c:cat>
            <c:strRef>
              <c:f>'EBITDA udvikling'!$AP$3:$BM$3</c:f>
              <c:strCache>
                <c:ptCount val="24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</c:strCache>
            </c:strRef>
          </c:cat>
          <c:val>
            <c:numRef>
              <c:f>'EBITDA udvikling'!$AP$6:$BM$6</c:f>
              <c:numCache>
                <c:formatCode>0.0%</c:formatCode>
                <c:ptCount val="24"/>
                <c:pt idx="0">
                  <c:v>8.9892089892089896E-2</c:v>
                </c:pt>
                <c:pt idx="1">
                  <c:v>8.8391392453922607E-2</c:v>
                </c:pt>
                <c:pt idx="2">
                  <c:v>8.7706354329982472E-2</c:v>
                </c:pt>
                <c:pt idx="3">
                  <c:v>7.7975257013416968E-2</c:v>
                </c:pt>
                <c:pt idx="5">
                  <c:v>7.3345712356515866E-2</c:v>
                </c:pt>
                <c:pt idx="6">
                  <c:v>6.7496449753571136E-2</c:v>
                </c:pt>
                <c:pt idx="7">
                  <c:v>6.4288676897552882E-2</c:v>
                </c:pt>
                <c:pt idx="8">
                  <c:v>7.2257427372232744E-2</c:v>
                </c:pt>
                <c:pt idx="10">
                  <c:v>7.5574665123201587E-2</c:v>
                </c:pt>
                <c:pt idx="11">
                  <c:v>7.903439153439154E-2</c:v>
                </c:pt>
                <c:pt idx="12">
                  <c:v>8.1040892193308553E-2</c:v>
                </c:pt>
                <c:pt idx="13">
                  <c:v>8.5528482054659197E-2</c:v>
                </c:pt>
                <c:pt idx="15">
                  <c:v>8.4091467912466189E-2</c:v>
                </c:pt>
                <c:pt idx="16">
                  <c:v>8.6226384627805588E-2</c:v>
                </c:pt>
                <c:pt idx="17">
                  <c:v>8.4943001899936671E-2</c:v>
                </c:pt>
                <c:pt idx="18">
                  <c:v>8.448181888966752E-2</c:v>
                </c:pt>
                <c:pt idx="20">
                  <c:v>8.5238927296209077E-2</c:v>
                </c:pt>
                <c:pt idx="21">
                  <c:v>8.8093079480205505E-2</c:v>
                </c:pt>
                <c:pt idx="22">
                  <c:v>8.9157536834151868E-2</c:v>
                </c:pt>
                <c:pt idx="23">
                  <c:v>9.6282245827010629E-2</c:v>
                </c:pt>
              </c:numCache>
            </c:numRef>
          </c:val>
        </c:ser>
        <c:marker val="1"/>
        <c:axId val="102963456"/>
        <c:axId val="102969344"/>
      </c:lineChart>
      <c:catAx>
        <c:axId val="10296115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2961920"/>
        <c:crosses val="autoZero"/>
        <c:lblAlgn val="ctr"/>
        <c:lblOffset val="100"/>
        <c:tickLblSkip val="1"/>
        <c:tickMarkSkip val="1"/>
      </c:catAx>
      <c:valAx>
        <c:axId val="102961920"/>
        <c:scaling>
          <c:orientation val="minMax"/>
        </c:scaling>
        <c:axPos val="l"/>
        <c:numFmt formatCode="#,##0;\-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2961152"/>
        <c:crosses val="autoZero"/>
        <c:crossBetween val="between"/>
      </c:valAx>
      <c:catAx>
        <c:axId val="102963456"/>
        <c:scaling>
          <c:orientation val="minMax"/>
        </c:scaling>
        <c:delete val="1"/>
        <c:axPos val="b"/>
        <c:tickLblPos val="none"/>
        <c:crossAx val="102969344"/>
        <c:crosses val="autoZero"/>
        <c:lblAlgn val="ctr"/>
        <c:lblOffset val="100"/>
      </c:catAx>
      <c:valAx>
        <c:axId val="102969344"/>
        <c:scaling>
          <c:orientation val="minMax"/>
          <c:max val="0.15000000000000024"/>
          <c:min val="3.0000000000000002E-2"/>
        </c:scaling>
        <c:axPos val="r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2963456"/>
        <c:crosses val="max"/>
        <c:crossBetween val="between"/>
        <c:majorUnit val="3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73088685015298"/>
          <c:y val="0.86992157992446062"/>
          <c:w val="0.79918466613691641"/>
          <c:h val="7.113853146405479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&amp;A</c:oddHeader>
      <c:oddFooter>Page &amp;P</c:oddFooter>
    </c:headerFooter>
    <c:pageMargins b="1" l="0.75000000000000644" r="0.75000000000000644" t="1" header="0.5" footer="0.5"/>
    <c:pageSetup paperSize="9" orientation="landscape" horizontalDpi="-3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330200</xdr:colOff>
      <xdr:row>20</xdr:row>
      <xdr:rowOff>50800</xdr:rowOff>
    </xdr:from>
    <xdr:to>
      <xdr:col>4</xdr:col>
      <xdr:colOff>412750</xdr:colOff>
      <xdr:row>21</xdr:row>
      <xdr:rowOff>88900</xdr:rowOff>
    </xdr:to>
    <xdr:sp macro="" textlink="">
      <xdr:nvSpPr>
        <xdr:cNvPr id="7306" name="Text Box 1"/>
        <xdr:cNvSpPr txBox="1">
          <a:spLocks noChangeArrowheads="1"/>
        </xdr:cNvSpPr>
      </xdr:nvSpPr>
      <xdr:spPr bwMode="auto">
        <a:xfrm>
          <a:off x="2895600" y="4953000"/>
          <a:ext cx="825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590550</xdr:colOff>
      <xdr:row>16</xdr:row>
      <xdr:rowOff>152400</xdr:rowOff>
    </xdr:from>
    <xdr:to>
      <xdr:col>60</xdr:col>
      <xdr:colOff>114300</xdr:colOff>
      <xdr:row>36</xdr:row>
      <xdr:rowOff>101600</xdr:rowOff>
    </xdr:to>
    <xdr:graphicFrame macro="">
      <xdr:nvGraphicFramePr>
        <xdr:cNvPr id="8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0.11378</cdr:x>
      <cdr:y>0.00371</cdr:y>
    </cdr:from>
    <cdr:to>
      <cdr:x>0.2029</cdr:x>
      <cdr:y>0.08047</cdr:y>
    </cdr:to>
    <cdr:sp macro="" textlink="">
      <cdr:nvSpPr>
        <cdr:cNvPr id="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775" y="11591"/>
          <a:ext cx="555152" cy="23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9pPr>
        </a:lstStyle>
        <a:p xmlns:a="http://schemas.openxmlformats.org/drawingml/2006/main">
          <a:pPr algn="l"/>
          <a:r>
            <a:rPr lang="da-DK" sz="1000" b="0" dirty="0"/>
            <a:t>DKKm</a:t>
          </a:r>
          <a:endParaRPr lang="en-US" sz="1000" b="0" dirty="0"/>
        </a:p>
      </cdr:txBody>
    </cdr:sp>
  </cdr:relSizeAnchor>
</c:userShapes>
</file>

<file path=xl/theme/theme1.xml><?xml version="1.0" encoding="utf-8"?>
<a:theme xmlns:a="http://schemas.openxmlformats.org/drawingml/2006/main" name="NKT 2013 v3">
  <a:themeElements>
    <a:clrScheme name="NKT 2013">
      <a:dk1>
        <a:srgbClr val="5F5F5F"/>
      </a:dk1>
      <a:lt1>
        <a:srgbClr val="FFFFFF"/>
      </a:lt1>
      <a:dk2>
        <a:srgbClr val="BAA88D"/>
      </a:dk2>
      <a:lt2>
        <a:srgbClr val="FFFFFF"/>
      </a:lt2>
      <a:accent1>
        <a:srgbClr val="007FC5"/>
      </a:accent1>
      <a:accent2>
        <a:srgbClr val="0F4694"/>
      </a:accent2>
      <a:accent3>
        <a:srgbClr val="979291"/>
      </a:accent3>
      <a:accent4>
        <a:srgbClr val="F79340"/>
      </a:accent4>
      <a:accent5>
        <a:srgbClr val="EE2C3C"/>
      </a:accent5>
      <a:accent6>
        <a:srgbClr val="7F4196"/>
      </a:accent6>
      <a:hlink>
        <a:srgbClr val="00BBC1"/>
      </a:hlink>
      <a:folHlink>
        <a:srgbClr val="00000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2:W31"/>
  <sheetViews>
    <sheetView showGridLines="0" tabSelected="1" topLeftCell="A7" zoomScaleNormal="100" workbookViewId="0">
      <selection activeCell="N45" sqref="N45"/>
    </sheetView>
  </sheetViews>
  <sheetFormatPr defaultColWidth="9.140625" defaultRowHeight="12.75"/>
  <cols>
    <col min="1" max="10" width="9.140625" style="4"/>
    <col min="11" max="11" width="17.42578125" style="4" customWidth="1"/>
    <col min="12" max="16384" width="9.140625" style="4"/>
  </cols>
  <sheetData>
    <row r="12" spans="3:12" ht="45.75">
      <c r="D12" s="111" t="s">
        <v>46</v>
      </c>
      <c r="E12" s="111"/>
      <c r="F12" s="111"/>
      <c r="G12" s="111"/>
      <c r="H12" s="111"/>
      <c r="I12" s="111"/>
      <c r="J12" s="111"/>
      <c r="K12" s="111"/>
    </row>
    <row r="13" spans="3:12" ht="45.75">
      <c r="D13" s="111" t="s">
        <v>119</v>
      </c>
      <c r="E13" s="111"/>
      <c r="F13" s="111"/>
      <c r="G13" s="111"/>
      <c r="H13" s="111"/>
      <c r="I13" s="111"/>
      <c r="J13" s="111"/>
      <c r="K13" s="111"/>
      <c r="L13" s="75"/>
    </row>
    <row r="14" spans="3:12" ht="45.75">
      <c r="C14" s="73" t="s">
        <v>78</v>
      </c>
      <c r="D14" s="111" t="s">
        <v>193</v>
      </c>
      <c r="E14" s="111"/>
      <c r="F14" s="111"/>
      <c r="G14" s="111"/>
      <c r="H14" s="111"/>
      <c r="I14" s="111"/>
      <c r="J14" s="111"/>
      <c r="K14" s="111"/>
    </row>
    <row r="15" spans="3:12" ht="45.75">
      <c r="C15" s="73" t="s">
        <v>78</v>
      </c>
      <c r="D15" s="111" t="s">
        <v>50</v>
      </c>
      <c r="E15" s="111"/>
      <c r="F15" s="111"/>
      <c r="G15" s="111"/>
      <c r="H15" s="111"/>
      <c r="I15" s="111"/>
      <c r="J15" s="111"/>
      <c r="K15" s="111"/>
    </row>
    <row r="21" spans="3:23">
      <c r="E21" s="11" t="s">
        <v>153</v>
      </c>
    </row>
    <row r="22" spans="3:23">
      <c r="E22" s="43" t="s">
        <v>197</v>
      </c>
    </row>
    <row r="23" spans="3:23">
      <c r="E23" s="43" t="s">
        <v>61</v>
      </c>
    </row>
    <row r="24" spans="3:23">
      <c r="E24" s="4" t="s">
        <v>118</v>
      </c>
    </row>
    <row r="25" spans="3:23">
      <c r="E25" s="4" t="s">
        <v>198</v>
      </c>
    </row>
    <row r="29" spans="3:23">
      <c r="C29" s="4" t="s">
        <v>78</v>
      </c>
    </row>
    <row r="30" spans="3:23">
      <c r="U30" s="44"/>
      <c r="V30" s="45"/>
      <c r="W30" s="45"/>
    </row>
    <row r="31" spans="3:23">
      <c r="U31" s="44"/>
      <c r="V31" s="44"/>
      <c r="W31" s="44"/>
    </row>
  </sheetData>
  <mergeCells count="4">
    <mergeCell ref="D12:K12"/>
    <mergeCell ref="D13:K13"/>
    <mergeCell ref="D14:K14"/>
    <mergeCell ref="D15:K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50"/>
  <sheetViews>
    <sheetView showGridLines="0" zoomScaleNormal="100" zoomScaleSheetLayoutView="75" workbookViewId="0">
      <pane xSplit="1" ySplit="3" topLeftCell="B10" activePane="bottomRight" state="frozen"/>
      <selection activeCell="D13" sqref="D13:K13"/>
      <selection pane="topRight" activeCell="D13" sqref="D13:K13"/>
      <selection pane="bottomLeft" activeCell="D13" sqref="D13:K13"/>
      <selection pane="bottomRight" activeCell="D13" sqref="D13:K13"/>
    </sheetView>
  </sheetViews>
  <sheetFormatPr defaultColWidth="9.140625" defaultRowHeight="12.75"/>
  <cols>
    <col min="1" max="1" width="31.140625" style="4" customWidth="1"/>
    <col min="2" max="2" width="4.28515625" style="9" customWidth="1"/>
    <col min="3" max="6" width="9.140625" style="4" customWidth="1"/>
    <col min="7" max="7" width="9.140625" style="11" customWidth="1"/>
    <col min="8" max="8" width="4.85546875" style="3" customWidth="1"/>
    <col min="9" max="12" width="9.140625" style="4" customWidth="1"/>
    <col min="13" max="13" width="9.140625" style="11" customWidth="1"/>
    <col min="14" max="14" width="4.85546875" style="4" customWidth="1"/>
    <col min="15" max="18" width="9.140625" style="4" customWidth="1"/>
    <col min="19" max="19" width="9.140625" style="11" customWidth="1"/>
    <col min="20" max="20" width="4.85546875" style="4" customWidth="1"/>
    <col min="21" max="24" width="9.140625" style="4" customWidth="1"/>
    <col min="25" max="25" width="9.140625" style="11" customWidth="1"/>
    <col min="26" max="26" width="4.85546875" style="4" customWidth="1"/>
    <col min="27" max="30" width="9.140625" style="4" customWidth="1"/>
    <col min="31" max="31" width="9.28515625" style="11" customWidth="1"/>
    <col min="32" max="32" width="4.85546875" style="4" customWidth="1"/>
    <col min="33" max="33" width="9.28515625" style="4" customWidth="1"/>
    <col min="34" max="34" width="9.42578125" style="4" customWidth="1"/>
    <col min="35" max="36" width="9.28515625" style="4" customWidth="1"/>
    <col min="37" max="37" width="9.28515625" style="11" customWidth="1"/>
    <col min="38" max="38" width="4.7109375" style="4" customWidth="1"/>
    <col min="39" max="41" width="9.28515625" style="4" customWidth="1"/>
    <col min="42" max="42" width="9.42578125" style="4" customWidth="1"/>
    <col min="43" max="43" width="9.7109375" style="11" customWidth="1"/>
    <col min="44" max="44" width="4.7109375" style="4" customWidth="1"/>
    <col min="45" max="49" width="9.28515625" style="4" customWidth="1"/>
    <col min="50" max="50" width="9.140625" style="4" customWidth="1"/>
    <col min="51" max="55" width="9.28515625" style="4" bestFit="1" customWidth="1"/>
    <col min="56" max="56" width="9.140625" style="4"/>
    <col min="57" max="61" width="9.28515625" style="4" bestFit="1" customWidth="1"/>
    <col min="62" max="62" width="9.140625" style="4"/>
    <col min="63" max="67" width="9.28515625" style="4" bestFit="1" customWidth="1"/>
    <col min="68" max="79" width="9.140625" style="4"/>
    <col min="80" max="80" width="3.140625" style="4" customWidth="1"/>
    <col min="81" max="85" width="9.140625" style="4"/>
    <col min="86" max="86" width="3.140625" style="4" customWidth="1"/>
    <col min="87" max="16384" width="9.140625" style="4"/>
  </cols>
  <sheetData>
    <row r="1" spans="1:91">
      <c r="C1" s="112" t="s">
        <v>144</v>
      </c>
      <c r="D1" s="112"/>
      <c r="E1" s="112"/>
      <c r="F1" s="112"/>
      <c r="G1" s="112"/>
      <c r="I1" s="112" t="s">
        <v>144</v>
      </c>
      <c r="J1" s="112"/>
      <c r="K1" s="112"/>
      <c r="L1" s="112"/>
      <c r="M1" s="112"/>
      <c r="O1" s="112" t="s">
        <v>144</v>
      </c>
      <c r="P1" s="112"/>
      <c r="Q1" s="112"/>
      <c r="R1" s="112"/>
      <c r="S1" s="112"/>
      <c r="U1" s="112" t="s">
        <v>144</v>
      </c>
      <c r="V1" s="112"/>
      <c r="W1" s="112"/>
      <c r="X1" s="112"/>
      <c r="Y1" s="112"/>
      <c r="AA1" s="112" t="s">
        <v>120</v>
      </c>
      <c r="AB1" s="112"/>
      <c r="AC1" s="112"/>
      <c r="AD1" s="112"/>
      <c r="AE1" s="112"/>
      <c r="AG1" s="112" t="s">
        <v>120</v>
      </c>
      <c r="AH1" s="112"/>
      <c r="AI1" s="112"/>
      <c r="AJ1" s="112"/>
      <c r="AK1" s="112"/>
      <c r="AM1" s="112" t="s">
        <v>120</v>
      </c>
      <c r="AN1" s="112"/>
      <c r="AO1" s="112"/>
      <c r="AP1" s="112"/>
      <c r="AQ1" s="112"/>
      <c r="AS1" s="112" t="s">
        <v>120</v>
      </c>
      <c r="AT1" s="112"/>
      <c r="AU1" s="112"/>
      <c r="AV1" s="112"/>
      <c r="AW1" s="112"/>
      <c r="AY1" s="112" t="s">
        <v>120</v>
      </c>
      <c r="AZ1" s="112"/>
      <c r="BA1" s="112"/>
      <c r="BB1" s="112"/>
      <c r="BC1" s="112"/>
      <c r="BE1" s="112" t="s">
        <v>120</v>
      </c>
      <c r="BF1" s="112"/>
      <c r="BG1" s="112"/>
      <c r="BH1" s="112"/>
      <c r="BI1" s="112"/>
      <c r="BK1" s="112" t="s">
        <v>120</v>
      </c>
      <c r="BL1" s="112"/>
      <c r="BM1" s="112"/>
      <c r="BN1" s="112"/>
      <c r="BO1" s="112"/>
      <c r="BQ1" s="112" t="s">
        <v>120</v>
      </c>
      <c r="BR1" s="112"/>
      <c r="BS1" s="112"/>
      <c r="BT1" s="112"/>
      <c r="BU1" s="112"/>
      <c r="BW1" s="112" t="s">
        <v>120</v>
      </c>
      <c r="BX1" s="112"/>
      <c r="BY1" s="112"/>
      <c r="BZ1" s="112"/>
      <c r="CA1" s="112"/>
      <c r="CC1" s="112" t="s">
        <v>120</v>
      </c>
      <c r="CD1" s="112"/>
      <c r="CE1" s="112"/>
      <c r="CF1" s="112"/>
      <c r="CG1" s="112"/>
      <c r="CI1" s="112" t="s">
        <v>120</v>
      </c>
      <c r="CJ1" s="112"/>
      <c r="CK1" s="112"/>
      <c r="CL1" s="112"/>
      <c r="CM1" s="112"/>
    </row>
    <row r="2" spans="1:91">
      <c r="A2" s="1" t="s">
        <v>46</v>
      </c>
      <c r="B2" s="2"/>
      <c r="C2" s="113">
        <v>2001</v>
      </c>
      <c r="D2" s="113"/>
      <c r="E2" s="113"/>
      <c r="F2" s="113"/>
      <c r="G2" s="113"/>
      <c r="I2" s="113">
        <v>2002</v>
      </c>
      <c r="J2" s="113"/>
      <c r="K2" s="113"/>
      <c r="L2" s="113"/>
      <c r="M2" s="113"/>
      <c r="O2" s="113">
        <v>2003</v>
      </c>
      <c r="P2" s="113"/>
      <c r="Q2" s="113"/>
      <c r="R2" s="113"/>
      <c r="S2" s="113"/>
      <c r="U2" s="113">
        <v>2004</v>
      </c>
      <c r="V2" s="113"/>
      <c r="W2" s="113"/>
      <c r="X2" s="113"/>
      <c r="Y2" s="113"/>
      <c r="AA2" s="113">
        <v>2004</v>
      </c>
      <c r="AB2" s="113"/>
      <c r="AC2" s="113"/>
      <c r="AD2" s="113"/>
      <c r="AE2" s="113"/>
      <c r="AG2" s="113">
        <v>2005</v>
      </c>
      <c r="AH2" s="113"/>
      <c r="AI2" s="113"/>
      <c r="AJ2" s="113"/>
      <c r="AK2" s="113"/>
      <c r="AM2" s="113">
        <v>2006</v>
      </c>
      <c r="AN2" s="113"/>
      <c r="AO2" s="113"/>
      <c r="AP2" s="113"/>
      <c r="AQ2" s="113"/>
      <c r="AS2" s="113">
        <v>2007</v>
      </c>
      <c r="AT2" s="113"/>
      <c r="AU2" s="113"/>
      <c r="AV2" s="113"/>
      <c r="AW2" s="113"/>
      <c r="AY2" s="113">
        <v>2008</v>
      </c>
      <c r="AZ2" s="113"/>
      <c r="BA2" s="113"/>
      <c r="BB2" s="113"/>
      <c r="BC2" s="113"/>
      <c r="BE2" s="113">
        <v>2009</v>
      </c>
      <c r="BF2" s="113"/>
      <c r="BG2" s="113"/>
      <c r="BH2" s="113"/>
      <c r="BI2" s="113"/>
      <c r="BK2" s="113">
        <v>2010</v>
      </c>
      <c r="BL2" s="113"/>
      <c r="BM2" s="113"/>
      <c r="BN2" s="113"/>
      <c r="BO2" s="113"/>
      <c r="BQ2" s="113">
        <v>2011</v>
      </c>
      <c r="BR2" s="113"/>
      <c r="BS2" s="113"/>
      <c r="BT2" s="113"/>
      <c r="BU2" s="113"/>
      <c r="BW2" s="113">
        <v>2012</v>
      </c>
      <c r="BX2" s="113"/>
      <c r="BY2" s="113"/>
      <c r="BZ2" s="113"/>
      <c r="CA2" s="113"/>
      <c r="CC2" s="113">
        <v>2013</v>
      </c>
      <c r="CD2" s="113"/>
      <c r="CE2" s="113"/>
      <c r="CF2" s="113"/>
      <c r="CG2" s="113"/>
      <c r="CI2" s="113">
        <v>2014</v>
      </c>
      <c r="CJ2" s="113"/>
      <c r="CK2" s="113"/>
      <c r="CL2" s="113"/>
      <c r="CM2" s="113"/>
    </row>
    <row r="3" spans="1:91">
      <c r="A3" s="5" t="s">
        <v>207</v>
      </c>
      <c r="B3" s="6"/>
      <c r="C3" s="103" t="s">
        <v>10</v>
      </c>
      <c r="D3" s="103" t="s">
        <v>11</v>
      </c>
      <c r="E3" s="103" t="s">
        <v>12</v>
      </c>
      <c r="F3" s="103" t="s">
        <v>13</v>
      </c>
      <c r="G3" s="7" t="s">
        <v>14</v>
      </c>
      <c r="H3" s="8"/>
      <c r="I3" s="103" t="s">
        <v>10</v>
      </c>
      <c r="J3" s="103" t="s">
        <v>11</v>
      </c>
      <c r="K3" s="103" t="s">
        <v>12</v>
      </c>
      <c r="L3" s="103" t="s">
        <v>13</v>
      </c>
      <c r="M3" s="7" t="s">
        <v>14</v>
      </c>
      <c r="O3" s="103" t="s">
        <v>10</v>
      </c>
      <c r="P3" s="103" t="s">
        <v>11</v>
      </c>
      <c r="Q3" s="103" t="s">
        <v>12</v>
      </c>
      <c r="R3" s="103" t="s">
        <v>13</v>
      </c>
      <c r="S3" s="7" t="s">
        <v>14</v>
      </c>
      <c r="U3" s="103" t="s">
        <v>10</v>
      </c>
      <c r="V3" s="103" t="s">
        <v>11</v>
      </c>
      <c r="W3" s="103" t="s">
        <v>12</v>
      </c>
      <c r="X3" s="103" t="s">
        <v>13</v>
      </c>
      <c r="Y3" s="7" t="s">
        <v>14</v>
      </c>
      <c r="AA3" s="103" t="s">
        <v>10</v>
      </c>
      <c r="AB3" s="103" t="s">
        <v>11</v>
      </c>
      <c r="AC3" s="103" t="s">
        <v>12</v>
      </c>
      <c r="AD3" s="103" t="s">
        <v>13</v>
      </c>
      <c r="AE3" s="7" t="s">
        <v>14</v>
      </c>
      <c r="AG3" s="103" t="s">
        <v>10</v>
      </c>
      <c r="AH3" s="103" t="s">
        <v>11</v>
      </c>
      <c r="AI3" s="103" t="s">
        <v>12</v>
      </c>
      <c r="AJ3" s="103" t="s">
        <v>13</v>
      </c>
      <c r="AK3" s="7" t="s">
        <v>14</v>
      </c>
      <c r="AM3" s="103" t="s">
        <v>10</v>
      </c>
      <c r="AN3" s="103" t="s">
        <v>11</v>
      </c>
      <c r="AO3" s="103" t="s">
        <v>12</v>
      </c>
      <c r="AP3" s="103" t="s">
        <v>13</v>
      </c>
      <c r="AQ3" s="7" t="s">
        <v>14</v>
      </c>
      <c r="AS3" s="103" t="s">
        <v>10</v>
      </c>
      <c r="AT3" s="103" t="s">
        <v>11</v>
      </c>
      <c r="AU3" s="103" t="s">
        <v>12</v>
      </c>
      <c r="AV3" s="103" t="s">
        <v>13</v>
      </c>
      <c r="AW3" s="7" t="s">
        <v>14</v>
      </c>
      <c r="AY3" s="103" t="s">
        <v>10</v>
      </c>
      <c r="AZ3" s="103" t="s">
        <v>11</v>
      </c>
      <c r="BA3" s="103" t="s">
        <v>12</v>
      </c>
      <c r="BB3" s="103" t="s">
        <v>13</v>
      </c>
      <c r="BC3" s="7" t="s">
        <v>14</v>
      </c>
      <c r="BE3" s="103" t="s">
        <v>10</v>
      </c>
      <c r="BF3" s="103" t="s">
        <v>11</v>
      </c>
      <c r="BG3" s="103" t="s">
        <v>12</v>
      </c>
      <c r="BH3" s="103" t="s">
        <v>13</v>
      </c>
      <c r="BI3" s="7" t="s">
        <v>14</v>
      </c>
      <c r="BK3" s="103" t="s">
        <v>10</v>
      </c>
      <c r="BL3" s="103" t="s">
        <v>11</v>
      </c>
      <c r="BM3" s="103" t="s">
        <v>12</v>
      </c>
      <c r="BN3" s="103" t="s">
        <v>13</v>
      </c>
      <c r="BO3" s="7" t="s">
        <v>14</v>
      </c>
      <c r="BQ3" s="103" t="s">
        <v>10</v>
      </c>
      <c r="BR3" s="103" t="s">
        <v>11</v>
      </c>
      <c r="BS3" s="103" t="s">
        <v>12</v>
      </c>
      <c r="BT3" s="103" t="s">
        <v>13</v>
      </c>
      <c r="BU3" s="7" t="s">
        <v>14</v>
      </c>
      <c r="BW3" s="103" t="s">
        <v>10</v>
      </c>
      <c r="BX3" s="103" t="s">
        <v>11</v>
      </c>
      <c r="BY3" s="103" t="s">
        <v>12</v>
      </c>
      <c r="BZ3" s="103" t="s">
        <v>13</v>
      </c>
      <c r="CA3" s="7" t="s">
        <v>14</v>
      </c>
      <c r="CC3" s="103" t="s">
        <v>10</v>
      </c>
      <c r="CD3" s="103" t="s">
        <v>11</v>
      </c>
      <c r="CE3" s="103" t="s">
        <v>12</v>
      </c>
      <c r="CF3" s="103" t="s">
        <v>13</v>
      </c>
      <c r="CG3" s="7" t="s">
        <v>14</v>
      </c>
      <c r="CI3" s="103" t="s">
        <v>10</v>
      </c>
      <c r="CJ3" s="103" t="s">
        <v>11</v>
      </c>
      <c r="CK3" s="103" t="s">
        <v>12</v>
      </c>
      <c r="CL3" s="103" t="s">
        <v>13</v>
      </c>
      <c r="CM3" s="7" t="s">
        <v>14</v>
      </c>
    </row>
    <row r="4" spans="1:91">
      <c r="G4" s="5"/>
      <c r="M4" s="5"/>
      <c r="S4" s="5"/>
      <c r="Y4" s="5"/>
      <c r="AE4" s="5"/>
      <c r="AK4" s="5"/>
      <c r="AQ4" s="5"/>
      <c r="AW4" s="5"/>
      <c r="BC4" s="5"/>
      <c r="BI4" s="5"/>
      <c r="BO4" s="5"/>
      <c r="BU4" s="5"/>
      <c r="CA4" s="5"/>
      <c r="CG4" s="5"/>
      <c r="CM4" s="5"/>
    </row>
    <row r="5" spans="1:91" s="11" customFormat="1" ht="18.75" customHeight="1">
      <c r="A5" s="11" t="s">
        <v>106</v>
      </c>
      <c r="B5" s="6"/>
      <c r="C5" s="32">
        <v>1538</v>
      </c>
      <c r="D5" s="32">
        <v>1682</v>
      </c>
      <c r="E5" s="32">
        <v>1621</v>
      </c>
      <c r="F5" s="32">
        <v>1585</v>
      </c>
      <c r="G5" s="20">
        <f>SUM(C5:F5)</f>
        <v>6426</v>
      </c>
      <c r="H5" s="15"/>
      <c r="I5" s="32">
        <v>1351</v>
      </c>
      <c r="J5" s="32">
        <v>1530</v>
      </c>
      <c r="K5" s="32">
        <v>1520</v>
      </c>
      <c r="L5" s="32">
        <v>1488</v>
      </c>
      <c r="M5" s="20">
        <f>SUM(I5:L5)</f>
        <v>5889</v>
      </c>
      <c r="O5" s="32">
        <v>1334</v>
      </c>
      <c r="P5" s="32">
        <v>1468</v>
      </c>
      <c r="Q5" s="32">
        <v>1532</v>
      </c>
      <c r="R5" s="32">
        <v>1490</v>
      </c>
      <c r="S5" s="20">
        <f>SUM(O5:R5)</f>
        <v>5824</v>
      </c>
      <c r="U5" s="32">
        <v>1430</v>
      </c>
      <c r="V5" s="32">
        <v>2000</v>
      </c>
      <c r="W5" s="32">
        <f>'Segment Data'!W14</f>
        <v>2136</v>
      </c>
      <c r="X5" s="32">
        <v>2159</v>
      </c>
      <c r="Y5" s="20">
        <f>SUM(U5:X5)</f>
        <v>7725</v>
      </c>
      <c r="AA5" s="32">
        <v>1304</v>
      </c>
      <c r="AB5" s="32">
        <v>1855</v>
      </c>
      <c r="AC5" s="32">
        <v>1977</v>
      </c>
      <c r="AD5" s="32">
        <v>2002</v>
      </c>
      <c r="AE5" s="20">
        <f>SUM(AA5:AD5)</f>
        <v>7138</v>
      </c>
      <c r="AG5" s="32">
        <v>1866</v>
      </c>
      <c r="AH5" s="32">
        <v>2292</v>
      </c>
      <c r="AI5" s="32">
        <v>2231</v>
      </c>
      <c r="AJ5" s="32">
        <v>2361</v>
      </c>
      <c r="AK5" s="20">
        <f>SUM(AG5:AJ5)</f>
        <v>8750</v>
      </c>
      <c r="AM5" s="32">
        <v>2412</v>
      </c>
      <c r="AN5" s="32">
        <f>'Segment Data'!AN14</f>
        <v>2837</v>
      </c>
      <c r="AO5" s="32">
        <v>2703</v>
      </c>
      <c r="AP5" s="32">
        <v>2863</v>
      </c>
      <c r="AQ5" s="20">
        <f>SUM(AM5:AP5)</f>
        <v>10815</v>
      </c>
      <c r="AS5" s="32">
        <v>3130</v>
      </c>
      <c r="AT5" s="32">
        <v>3612</v>
      </c>
      <c r="AU5" s="32">
        <v>3356</v>
      </c>
      <c r="AV5" s="32">
        <v>3427</v>
      </c>
      <c r="AW5" s="20">
        <f>SUM(AS5:AV5)</f>
        <v>13525</v>
      </c>
      <c r="AY5" s="32">
        <v>3366</v>
      </c>
      <c r="AZ5" s="32">
        <v>3789</v>
      </c>
      <c r="BA5" s="32">
        <v>3528</v>
      </c>
      <c r="BB5" s="32">
        <v>3145</v>
      </c>
      <c r="BC5" s="20">
        <f>SUM(AY5:BB5)</f>
        <v>13828</v>
      </c>
      <c r="BE5" s="32">
        <v>2635</v>
      </c>
      <c r="BF5" s="32">
        <v>3144</v>
      </c>
      <c r="BG5" s="32">
        <v>2981</v>
      </c>
      <c r="BH5" s="32">
        <v>2927</v>
      </c>
      <c r="BI5" s="20">
        <f>SUM(BE5:BH5)</f>
        <v>11687</v>
      </c>
      <c r="BK5" s="32">
        <v>3062</v>
      </c>
      <c r="BL5" s="32">
        <v>3635</v>
      </c>
      <c r="BM5" s="32">
        <v>3725</v>
      </c>
      <c r="BN5" s="32">
        <v>4029</v>
      </c>
      <c r="BO5" s="20">
        <f>SUM(BK5:BN5)</f>
        <v>14451</v>
      </c>
      <c r="BQ5" s="32">
        <f>+'Segment Data'!BQ14</f>
        <v>3774</v>
      </c>
      <c r="BR5" s="32">
        <f>+'Segment Data'!BR14</f>
        <v>4016</v>
      </c>
      <c r="BS5" s="32">
        <f>+'Segment Data'!BS14</f>
        <v>3912</v>
      </c>
      <c r="BT5" s="32">
        <f>+'Segment Data'!BT14</f>
        <v>3902</v>
      </c>
      <c r="BU5" s="20">
        <f>SUM(BQ5:BT5)</f>
        <v>15604</v>
      </c>
      <c r="BW5" s="32">
        <f>+'Segment Data'!BW14</f>
        <v>3531</v>
      </c>
      <c r="BX5" s="32">
        <f>+'Segment Data'!BX14</f>
        <v>3904</v>
      </c>
      <c r="BY5" s="32">
        <f>+'Segment Data'!BY14</f>
        <v>3816</v>
      </c>
      <c r="BZ5" s="32">
        <f>+'Segment Data'!BZ14</f>
        <v>4002</v>
      </c>
      <c r="CA5" s="20">
        <f>SUM(BW5:BZ5)</f>
        <v>15253</v>
      </c>
      <c r="CC5" s="32">
        <f>+'Segment Data'!CC14</f>
        <v>3509</v>
      </c>
      <c r="CD5" s="32">
        <f>+'Segment Data'!CD14</f>
        <v>4038</v>
      </c>
      <c r="CE5" s="32">
        <f>+'Segment Data'!CE14</f>
        <v>4077</v>
      </c>
      <c r="CF5" s="32">
        <v>4185</v>
      </c>
      <c r="CG5" s="20">
        <f>SUM(CC5:CF5)</f>
        <v>15809</v>
      </c>
      <c r="CI5" s="32">
        <f>+'Segment Data'!CI14</f>
        <v>3865</v>
      </c>
      <c r="CJ5" s="32">
        <f>+'Segment Data'!CJ14</f>
        <v>4028</v>
      </c>
      <c r="CK5" s="32">
        <v>3946</v>
      </c>
      <c r="CL5" s="32">
        <f>+'Segment Data'!CL14</f>
        <v>4024</v>
      </c>
      <c r="CM5" s="20">
        <f>SUM(CI5:CL5)</f>
        <v>15863</v>
      </c>
    </row>
    <row r="6" spans="1:91" ht="6" customHeight="1">
      <c r="C6" s="13"/>
      <c r="D6" s="13"/>
      <c r="E6" s="13"/>
      <c r="F6" s="13"/>
      <c r="G6" s="14"/>
      <c r="H6" s="15"/>
      <c r="I6" s="13"/>
      <c r="J6" s="13"/>
      <c r="K6" s="13"/>
      <c r="L6" s="13"/>
      <c r="M6" s="14"/>
      <c r="O6" s="13"/>
      <c r="P6" s="13"/>
      <c r="Q6" s="13"/>
      <c r="R6" s="13"/>
      <c r="S6" s="14"/>
      <c r="U6" s="13"/>
      <c r="V6" s="13"/>
      <c r="W6" s="13"/>
      <c r="X6" s="13"/>
      <c r="Y6" s="14"/>
      <c r="AA6" s="13"/>
      <c r="AB6" s="13"/>
      <c r="AC6" s="13"/>
      <c r="AD6" s="13"/>
      <c r="AE6" s="14"/>
      <c r="AG6" s="13"/>
      <c r="AH6" s="13"/>
      <c r="AI6" s="13"/>
      <c r="AJ6" s="13"/>
      <c r="AK6" s="14"/>
      <c r="AM6" s="13"/>
      <c r="AN6" s="13"/>
      <c r="AO6" s="13"/>
      <c r="AP6" s="13"/>
      <c r="AQ6" s="14"/>
      <c r="AS6" s="13"/>
      <c r="AT6" s="13"/>
      <c r="AU6" s="13"/>
      <c r="AV6" s="13"/>
      <c r="AW6" s="14"/>
      <c r="AY6" s="13"/>
      <c r="AZ6" s="13"/>
      <c r="BA6" s="13"/>
      <c r="BB6" s="13"/>
      <c r="BC6" s="14"/>
      <c r="BE6" s="13"/>
      <c r="BF6" s="13"/>
      <c r="BG6" s="13"/>
      <c r="BH6" s="13"/>
      <c r="BI6" s="14"/>
      <c r="BK6" s="13"/>
      <c r="BL6" s="13"/>
      <c r="BM6" s="13"/>
      <c r="BN6" s="13"/>
      <c r="BO6" s="14"/>
      <c r="BQ6" s="13"/>
      <c r="BR6" s="13"/>
      <c r="BS6" s="13"/>
      <c r="BT6" s="13"/>
      <c r="BU6" s="14"/>
      <c r="BW6" s="13"/>
      <c r="BX6" s="13"/>
      <c r="BY6" s="13"/>
      <c r="BZ6" s="13"/>
      <c r="CA6" s="14"/>
      <c r="CC6" s="13"/>
      <c r="CD6" s="13"/>
      <c r="CE6" s="13"/>
      <c r="CF6" s="13"/>
      <c r="CG6" s="14"/>
      <c r="CI6" s="13"/>
      <c r="CJ6" s="13"/>
      <c r="CK6" s="13"/>
      <c r="CL6" s="13"/>
      <c r="CM6" s="14"/>
    </row>
    <row r="7" spans="1:91" s="11" customFormat="1" ht="18.75" customHeight="1">
      <c r="A7" s="11" t="s">
        <v>1</v>
      </c>
      <c r="B7" s="6"/>
      <c r="C7" s="18">
        <v>37</v>
      </c>
      <c r="D7" s="18">
        <v>169</v>
      </c>
      <c r="E7" s="18">
        <v>52</v>
      </c>
      <c r="F7" s="18">
        <v>57</v>
      </c>
      <c r="G7" s="14">
        <f>SUM(C7:F7)</f>
        <v>315</v>
      </c>
      <c r="H7" s="15"/>
      <c r="I7" s="18">
        <v>66</v>
      </c>
      <c r="J7" s="18">
        <v>86</v>
      </c>
      <c r="K7" s="18">
        <v>95</v>
      </c>
      <c r="L7" s="18">
        <v>-79</v>
      </c>
      <c r="M7" s="14">
        <f>SUM(I7:L7)</f>
        <v>168</v>
      </c>
      <c r="O7" s="18">
        <v>66</v>
      </c>
      <c r="P7" s="18">
        <v>101</v>
      </c>
      <c r="Q7" s="18">
        <v>108</v>
      </c>
      <c r="R7" s="18">
        <v>111</v>
      </c>
      <c r="S7" s="14">
        <f>SUM(O7:R7)</f>
        <v>386</v>
      </c>
      <c r="U7" s="18">
        <v>71</v>
      </c>
      <c r="V7" s="18">
        <v>149</v>
      </c>
      <c r="W7" s="18">
        <f>'Segment Data'!W39</f>
        <v>271</v>
      </c>
      <c r="X7" s="18">
        <v>125</v>
      </c>
      <c r="Y7" s="14">
        <f>SUM(U7:X7)</f>
        <v>616</v>
      </c>
      <c r="AA7" s="18">
        <v>68</v>
      </c>
      <c r="AB7" s="18">
        <v>-37</v>
      </c>
      <c r="AC7" s="18">
        <v>263</v>
      </c>
      <c r="AD7" s="18">
        <v>139</v>
      </c>
      <c r="AE7" s="14">
        <f>SUM(AA7:AD7)</f>
        <v>433</v>
      </c>
      <c r="AG7" s="18">
        <v>125</v>
      </c>
      <c r="AH7" s="18">
        <v>174</v>
      </c>
      <c r="AI7" s="18">
        <v>190</v>
      </c>
      <c r="AJ7" s="18">
        <v>224</v>
      </c>
      <c r="AK7" s="14">
        <f>SUM(AG7:AJ7)</f>
        <v>713</v>
      </c>
      <c r="AM7" s="18">
        <v>176</v>
      </c>
      <c r="AN7" s="18">
        <v>373</v>
      </c>
      <c r="AO7" s="18">
        <v>255</v>
      </c>
      <c r="AP7" s="18">
        <v>218</v>
      </c>
      <c r="AQ7" s="14">
        <f>SUM(AM7:AP7)</f>
        <v>1022</v>
      </c>
      <c r="AS7" s="18">
        <v>256</v>
      </c>
      <c r="AT7" s="18">
        <v>397</v>
      </c>
      <c r="AU7" s="18">
        <v>333</v>
      </c>
      <c r="AV7" s="18">
        <v>447</v>
      </c>
      <c r="AW7" s="14">
        <f>SUM(AS7:AV7)</f>
        <v>1433</v>
      </c>
      <c r="AY7" s="18">
        <v>305</v>
      </c>
      <c r="AZ7" s="18">
        <v>461</v>
      </c>
      <c r="BA7" s="18">
        <v>329</v>
      </c>
      <c r="BB7" s="18">
        <v>123</v>
      </c>
      <c r="BC7" s="14">
        <f>SUM(AY7:BB7)</f>
        <v>1218</v>
      </c>
      <c r="BE7" s="18">
        <v>127</v>
      </c>
      <c r="BF7" s="18">
        <v>237</v>
      </c>
      <c r="BG7" s="18">
        <v>225</v>
      </c>
      <c r="BH7" s="18">
        <v>194</v>
      </c>
      <c r="BI7" s="14">
        <f>SUM(BE7:BH7)</f>
        <v>783</v>
      </c>
      <c r="BK7" s="18">
        <v>213</v>
      </c>
      <c r="BL7" s="18">
        <v>258</v>
      </c>
      <c r="BM7" s="18">
        <v>250</v>
      </c>
      <c r="BN7" s="18">
        <v>178</v>
      </c>
      <c r="BO7" s="14">
        <f>SUM(BK7:BN7)</f>
        <v>899</v>
      </c>
      <c r="BQ7" s="18">
        <f>+'Segment Data'!BQ39</f>
        <v>216</v>
      </c>
      <c r="BR7" s="18">
        <f>+'Segment Data'!BR39</f>
        <v>210</v>
      </c>
      <c r="BS7" s="18">
        <f>+'Segment Data'!BS39</f>
        <v>312</v>
      </c>
      <c r="BT7" s="18">
        <f>+'Segment Data'!BT39</f>
        <v>265</v>
      </c>
      <c r="BU7" s="14">
        <f>SUM(BQ7:BT7)</f>
        <v>1003</v>
      </c>
      <c r="BW7" s="18">
        <f>+'Segment Data'!BW39</f>
        <v>228</v>
      </c>
      <c r="BX7" s="18">
        <f>+'Segment Data'!BX39</f>
        <v>229</v>
      </c>
      <c r="BY7" s="18">
        <f>+'Segment Data'!BY39</f>
        <v>239</v>
      </c>
      <c r="BZ7" s="18">
        <f>+'Segment Data'!BZ39</f>
        <v>313</v>
      </c>
      <c r="CA7" s="14">
        <f>SUM(BW7:BZ7)</f>
        <v>1009</v>
      </c>
      <c r="CC7" s="18">
        <f>+'Segment Data'!CC39</f>
        <v>217</v>
      </c>
      <c r="CD7" s="18">
        <f>+'Segment Data'!CD39</f>
        <v>279</v>
      </c>
      <c r="CE7" s="18">
        <f>+'Segment Data'!CE39</f>
        <v>241</v>
      </c>
      <c r="CF7" s="18">
        <v>366</v>
      </c>
      <c r="CG7" s="14">
        <f>SUM(CC7:CF7)</f>
        <v>1103</v>
      </c>
      <c r="CI7" s="18">
        <f>+'Segment Data'!CI39</f>
        <v>296</v>
      </c>
      <c r="CJ7" s="18">
        <f>+'Segment Data'!CJ39</f>
        <v>222</v>
      </c>
      <c r="CK7" s="18">
        <f>+'Segment Data'!CK39</f>
        <v>226</v>
      </c>
      <c r="CL7" s="18">
        <f>+'Segment Data'!CL39</f>
        <v>317</v>
      </c>
      <c r="CM7" s="14">
        <f>SUM(CI7:CL7)</f>
        <v>1061</v>
      </c>
    </row>
    <row r="8" spans="1:91">
      <c r="A8" s="4" t="s">
        <v>72</v>
      </c>
      <c r="C8" s="13">
        <f>-75</f>
        <v>-75</v>
      </c>
      <c r="D8" s="13">
        <f>-74-2</f>
        <v>-76</v>
      </c>
      <c r="E8" s="13">
        <f>-80-3</f>
        <v>-83</v>
      </c>
      <c r="F8" s="13">
        <f>-87-4</f>
        <v>-91</v>
      </c>
      <c r="G8" s="14">
        <f>SUM(C8:F8)</f>
        <v>-325</v>
      </c>
      <c r="H8" s="15"/>
      <c r="I8" s="13">
        <f>-79-3</f>
        <v>-82</v>
      </c>
      <c r="J8" s="13">
        <f>-81-2</f>
        <v>-83</v>
      </c>
      <c r="K8" s="13">
        <f>-77-3</f>
        <v>-80</v>
      </c>
      <c r="L8" s="13">
        <f>-78-1</f>
        <v>-79</v>
      </c>
      <c r="M8" s="14">
        <f>SUM(I8:L8)</f>
        <v>-324</v>
      </c>
      <c r="O8" s="13">
        <f>-50-2</f>
        <v>-52</v>
      </c>
      <c r="P8" s="13">
        <f>-49-2</f>
        <v>-51</v>
      </c>
      <c r="Q8" s="13">
        <f>-47-5</f>
        <v>-52</v>
      </c>
      <c r="R8" s="13">
        <f>-52-5</f>
        <v>-57</v>
      </c>
      <c r="S8" s="14">
        <f>SUM(O8:R8)</f>
        <v>-212</v>
      </c>
      <c r="U8" s="13">
        <f>-52+5</f>
        <v>-47</v>
      </c>
      <c r="V8" s="13">
        <f>-61+8</f>
        <v>-53</v>
      </c>
      <c r="W8" s="13">
        <f>-59+8</f>
        <v>-51</v>
      </c>
      <c r="X8" s="13">
        <f>-63+10</f>
        <v>-53</v>
      </c>
      <c r="Y8" s="14">
        <f>SUM(U8:X8)</f>
        <v>-204</v>
      </c>
      <c r="AA8" s="13">
        <v>-40</v>
      </c>
      <c r="AB8" s="13">
        <v>-46</v>
      </c>
      <c r="AC8" s="13">
        <v>-44</v>
      </c>
      <c r="AD8" s="13">
        <v>-44</v>
      </c>
      <c r="AE8" s="14">
        <f>SUM(AA8:AD8)</f>
        <v>-174</v>
      </c>
      <c r="AG8" s="13">
        <v>-38</v>
      </c>
      <c r="AH8" s="13">
        <v>-35</v>
      </c>
      <c r="AI8" s="13">
        <v>-37</v>
      </c>
      <c r="AJ8" s="13">
        <v>-49</v>
      </c>
      <c r="AK8" s="14">
        <f>SUM(AG8:AJ8)</f>
        <v>-159</v>
      </c>
      <c r="AM8" s="13">
        <v>-35</v>
      </c>
      <c r="AN8" s="13">
        <v>-32</v>
      </c>
      <c r="AO8" s="13">
        <v>-37</v>
      </c>
      <c r="AP8" s="13">
        <v>-35</v>
      </c>
      <c r="AQ8" s="14">
        <f>SUM(AM8:AP8)</f>
        <v>-139</v>
      </c>
      <c r="AS8" s="13">
        <v>-43</v>
      </c>
      <c r="AT8" s="13">
        <v>-42</v>
      </c>
      <c r="AU8" s="13">
        <v>-56</v>
      </c>
      <c r="AV8" s="13">
        <v>-51</v>
      </c>
      <c r="AW8" s="14">
        <f>SUM(AS8:AV8)</f>
        <v>-192</v>
      </c>
      <c r="AY8" s="13">
        <v>-54</v>
      </c>
      <c r="AZ8" s="13">
        <v>-55</v>
      </c>
      <c r="BA8" s="13">
        <v>-59</v>
      </c>
      <c r="BB8" s="13">
        <v>-54</v>
      </c>
      <c r="BC8" s="14">
        <f>SUM(AY8:BB8)</f>
        <v>-222</v>
      </c>
      <c r="BE8" s="13">
        <v>-59</v>
      </c>
      <c r="BF8" s="13">
        <v>-60</v>
      </c>
      <c r="BG8" s="13">
        <v>-63</v>
      </c>
      <c r="BH8" s="13">
        <v>-61</v>
      </c>
      <c r="BI8" s="14">
        <f>SUM(BE8:BH8)</f>
        <v>-243</v>
      </c>
      <c r="BK8" s="13">
        <v>-62</v>
      </c>
      <c r="BL8" s="13">
        <v>-67</v>
      </c>
      <c r="BM8" s="13">
        <v>-70</v>
      </c>
      <c r="BN8" s="13">
        <v>-80</v>
      </c>
      <c r="BO8" s="14">
        <f>SUM(BK8:BN8)</f>
        <v>-279</v>
      </c>
      <c r="BQ8" s="13">
        <v>-81</v>
      </c>
      <c r="BR8" s="13">
        <v>-80</v>
      </c>
      <c r="BS8" s="13">
        <v>-87</v>
      </c>
      <c r="BT8" s="57">
        <v>-88</v>
      </c>
      <c r="BU8" s="14">
        <f>SUM(BQ8:BT8)</f>
        <v>-336</v>
      </c>
      <c r="BW8" s="13">
        <v>-86</v>
      </c>
      <c r="BX8" s="13">
        <v>-88</v>
      </c>
      <c r="BY8" s="13">
        <v>-90</v>
      </c>
      <c r="BZ8" s="57">
        <v>-96</v>
      </c>
      <c r="CA8" s="14">
        <f>SUM(BW8:BZ8)</f>
        <v>-360</v>
      </c>
      <c r="CC8" s="13">
        <v>-87</v>
      </c>
      <c r="CD8" s="13">
        <v>-85</v>
      </c>
      <c r="CE8" s="13">
        <v>-93</v>
      </c>
      <c r="CF8" s="57">
        <v>-90</v>
      </c>
      <c r="CG8" s="14">
        <f>SUM(CC8:CF8)</f>
        <v>-355</v>
      </c>
      <c r="CI8" s="13">
        <v>-90</v>
      </c>
      <c r="CJ8" s="13">
        <v>-88</v>
      </c>
      <c r="CK8" s="13">
        <v>-86</v>
      </c>
      <c r="CL8" s="57">
        <v>-94</v>
      </c>
      <c r="CM8" s="14">
        <f>SUM(CI8:CL8)</f>
        <v>-358</v>
      </c>
    </row>
    <row r="9" spans="1:91">
      <c r="A9" s="4" t="s">
        <v>73</v>
      </c>
      <c r="C9" s="13"/>
      <c r="D9" s="13"/>
      <c r="E9" s="13"/>
      <c r="F9" s="13"/>
      <c r="G9" s="14"/>
      <c r="H9" s="15"/>
      <c r="I9" s="13"/>
      <c r="J9" s="13"/>
      <c r="K9" s="13"/>
      <c r="L9" s="13"/>
      <c r="M9" s="14"/>
      <c r="O9" s="13"/>
      <c r="P9" s="13"/>
      <c r="Q9" s="13"/>
      <c r="R9" s="13"/>
      <c r="S9" s="14"/>
      <c r="U9" s="13">
        <v>-5</v>
      </c>
      <c r="V9" s="13">
        <v>-8</v>
      </c>
      <c r="W9" s="13">
        <v>-8</v>
      </c>
      <c r="X9" s="13">
        <v>-10</v>
      </c>
      <c r="Y9" s="14">
        <f>SUM(U9:X9)</f>
        <v>-31</v>
      </c>
      <c r="AA9" s="13">
        <v>-5</v>
      </c>
      <c r="AB9" s="13">
        <v>-8</v>
      </c>
      <c r="AC9" s="13">
        <v>-8</v>
      </c>
      <c r="AD9" s="13">
        <v>-14</v>
      </c>
      <c r="AE9" s="14">
        <f>SUM(AA9:AD9)</f>
        <v>-35</v>
      </c>
      <c r="AG9" s="13">
        <v>-13</v>
      </c>
      <c r="AH9" s="13">
        <v>-14</v>
      </c>
      <c r="AI9" s="13">
        <v>-14</v>
      </c>
      <c r="AJ9" s="13">
        <v>-22</v>
      </c>
      <c r="AK9" s="14">
        <f>SUM(AG9:AJ9)</f>
        <v>-63</v>
      </c>
      <c r="AM9" s="13">
        <v>-17</v>
      </c>
      <c r="AN9" s="13">
        <v>-17</v>
      </c>
      <c r="AO9" s="13">
        <v>-16</v>
      </c>
      <c r="AP9" s="13">
        <v>-15</v>
      </c>
      <c r="AQ9" s="14">
        <f>SUM(AM9:AP9)</f>
        <v>-65</v>
      </c>
      <c r="AS9" s="13">
        <v>-22</v>
      </c>
      <c r="AT9" s="13">
        <v>-24</v>
      </c>
      <c r="AU9" s="13">
        <v>-29</v>
      </c>
      <c r="AV9" s="13">
        <v>-33</v>
      </c>
      <c r="AW9" s="14">
        <f>SUM(AS9:AV9)</f>
        <v>-108</v>
      </c>
      <c r="AY9" s="13">
        <v>-25</v>
      </c>
      <c r="AZ9" s="13">
        <v>-29</v>
      </c>
      <c r="BA9" s="13">
        <v>-29</v>
      </c>
      <c r="BB9" s="13">
        <v>-42</v>
      </c>
      <c r="BC9" s="14">
        <f>SUM(AY9:BB9)</f>
        <v>-125</v>
      </c>
      <c r="BE9" s="13">
        <v>-32</v>
      </c>
      <c r="BF9" s="13">
        <v>-31</v>
      </c>
      <c r="BG9" s="13">
        <v>-31</v>
      </c>
      <c r="BH9" s="13">
        <v>-30</v>
      </c>
      <c r="BI9" s="14">
        <f>SUM(BE9:BH9)</f>
        <v>-124</v>
      </c>
      <c r="BK9" s="13">
        <v>-31</v>
      </c>
      <c r="BL9" s="13">
        <v>-31</v>
      </c>
      <c r="BM9" s="13">
        <v>-32</v>
      </c>
      <c r="BN9" s="13">
        <v>-46</v>
      </c>
      <c r="BO9" s="14">
        <f>SUM(BK9:BN9)</f>
        <v>-140</v>
      </c>
      <c r="BQ9" s="13">
        <v>-38</v>
      </c>
      <c r="BR9" s="13">
        <v>-34</v>
      </c>
      <c r="BS9" s="13">
        <v>-40</v>
      </c>
      <c r="BT9" s="57">
        <v>-42</v>
      </c>
      <c r="BU9" s="14">
        <f>SUM(BQ9:BT9)</f>
        <v>-154</v>
      </c>
      <c r="BW9" s="13">
        <v>-39</v>
      </c>
      <c r="BX9" s="13">
        <v>-42</v>
      </c>
      <c r="BY9" s="13">
        <v>-47</v>
      </c>
      <c r="BZ9" s="57">
        <v>-42</v>
      </c>
      <c r="CA9" s="14">
        <f>SUM(BW9:BZ9)</f>
        <v>-170</v>
      </c>
      <c r="CC9" s="13">
        <v>-42</v>
      </c>
      <c r="CD9" s="13">
        <v>-45</v>
      </c>
      <c r="CE9" s="13">
        <v>-43</v>
      </c>
      <c r="CF9" s="57">
        <v>-44</v>
      </c>
      <c r="CG9" s="14">
        <f>SUM(CC9:CF9)</f>
        <v>-174</v>
      </c>
      <c r="CI9" s="13">
        <v>-45</v>
      </c>
      <c r="CJ9" s="13">
        <v>-48</v>
      </c>
      <c r="CK9" s="13">
        <v>-43</v>
      </c>
      <c r="CL9" s="57">
        <f>136-178</f>
        <v>-42</v>
      </c>
      <c r="CM9" s="14">
        <f>SUM(CI9:CL9)</f>
        <v>-178</v>
      </c>
    </row>
    <row r="10" spans="1:91">
      <c r="A10" s="4" t="s">
        <v>121</v>
      </c>
      <c r="C10" s="19">
        <v>0</v>
      </c>
      <c r="D10" s="19">
        <v>0</v>
      </c>
      <c r="E10" s="19">
        <v>0</v>
      </c>
      <c r="F10" s="19">
        <v>0</v>
      </c>
      <c r="G10" s="20">
        <f>SUM(C10:F10)</f>
        <v>0</v>
      </c>
      <c r="H10" s="15"/>
      <c r="I10" s="19">
        <v>0</v>
      </c>
      <c r="J10" s="19">
        <v>0</v>
      </c>
      <c r="K10" s="19">
        <v>0</v>
      </c>
      <c r="L10" s="19">
        <f>-643-6</f>
        <v>-649</v>
      </c>
      <c r="M10" s="20">
        <f>SUM(I10:L10)</f>
        <v>-649</v>
      </c>
      <c r="O10" s="19">
        <v>0</v>
      </c>
      <c r="P10" s="19">
        <v>0</v>
      </c>
      <c r="Q10" s="19">
        <v>0</v>
      </c>
      <c r="R10" s="19">
        <v>-25</v>
      </c>
      <c r="S10" s="20">
        <f>SUM(O10:R10)</f>
        <v>-25</v>
      </c>
      <c r="U10" s="19">
        <v>0</v>
      </c>
      <c r="V10" s="19">
        <v>0</v>
      </c>
      <c r="W10" s="19">
        <v>-65</v>
      </c>
      <c r="X10" s="19">
        <v>8</v>
      </c>
      <c r="Y10" s="20">
        <f>SUM(U10:X10)</f>
        <v>-57</v>
      </c>
      <c r="AA10" s="19">
        <v>0</v>
      </c>
      <c r="AB10" s="19">
        <v>0</v>
      </c>
      <c r="AC10" s="19">
        <v>-65</v>
      </c>
      <c r="AD10" s="19">
        <v>23</v>
      </c>
      <c r="AE10" s="20">
        <f>SUM(AA10:AD10)</f>
        <v>-42</v>
      </c>
      <c r="AG10" s="19">
        <v>0</v>
      </c>
      <c r="AH10" s="19"/>
      <c r="AI10" s="19"/>
      <c r="AJ10" s="19"/>
      <c r="AK10" s="20">
        <f>SUM(AG10:AJ10)</f>
        <v>0</v>
      </c>
      <c r="AM10" s="19"/>
      <c r="AN10" s="19"/>
      <c r="AO10" s="19"/>
      <c r="AP10" s="19"/>
      <c r="AQ10" s="20">
        <f>SUM(AM10:AP10)</f>
        <v>0</v>
      </c>
      <c r="AS10" s="19"/>
      <c r="AT10" s="19"/>
      <c r="AU10" s="19"/>
      <c r="AV10" s="19"/>
      <c r="AW10" s="20">
        <f>SUM(AS10:AV10)</f>
        <v>0</v>
      </c>
      <c r="AY10" s="19"/>
      <c r="AZ10" s="19"/>
      <c r="BA10" s="19"/>
      <c r="BB10" s="19">
        <v>-53</v>
      </c>
      <c r="BC10" s="20">
        <f>SUM(AY10:BB10)</f>
        <v>-53</v>
      </c>
      <c r="BE10" s="19">
        <v>0</v>
      </c>
      <c r="BF10" s="19">
        <v>0</v>
      </c>
      <c r="BG10" s="19">
        <v>0</v>
      </c>
      <c r="BH10" s="19">
        <v>0</v>
      </c>
      <c r="BI10" s="20">
        <f>SUM(BE10:BH10)</f>
        <v>0</v>
      </c>
      <c r="BK10" s="19">
        <v>0</v>
      </c>
      <c r="BL10" s="19">
        <v>0</v>
      </c>
      <c r="BM10" s="19">
        <v>0</v>
      </c>
      <c r="BN10" s="19">
        <v>0</v>
      </c>
      <c r="BO10" s="20">
        <f>SUM(BK10:BN10)</f>
        <v>0</v>
      </c>
      <c r="BQ10" s="19">
        <v>0</v>
      </c>
      <c r="BR10" s="19">
        <v>0</v>
      </c>
      <c r="BS10" s="19">
        <v>0</v>
      </c>
      <c r="BT10" s="72">
        <v>-68</v>
      </c>
      <c r="BU10" s="20">
        <f>SUM(BQ10:BT10)</f>
        <v>-68</v>
      </c>
      <c r="BW10" s="19">
        <v>0</v>
      </c>
      <c r="BX10" s="19">
        <v>0</v>
      </c>
      <c r="BY10" s="19">
        <v>0</v>
      </c>
      <c r="BZ10" s="72">
        <v>-6</v>
      </c>
      <c r="CA10" s="20">
        <f>SUM(BW10:BZ10)</f>
        <v>-6</v>
      </c>
      <c r="CC10" s="19">
        <v>0</v>
      </c>
      <c r="CD10" s="19">
        <v>0</v>
      </c>
      <c r="CE10" s="19">
        <v>0</v>
      </c>
      <c r="CF10" s="72">
        <v>-66</v>
      </c>
      <c r="CG10" s="20">
        <f>SUM(CC10:CF10)</f>
        <v>-66</v>
      </c>
      <c r="CI10" s="19">
        <v>0</v>
      </c>
      <c r="CJ10" s="19">
        <v>0</v>
      </c>
      <c r="CK10" s="19">
        <v>0</v>
      </c>
      <c r="CL10" s="72">
        <v>-20</v>
      </c>
      <c r="CM10" s="20">
        <f>SUM(CI10:CL10)</f>
        <v>-20</v>
      </c>
    </row>
    <row r="11" spans="1:91" s="11" customFormat="1" ht="18.75" customHeight="1">
      <c r="A11" s="11" t="s">
        <v>3</v>
      </c>
      <c r="B11" s="6"/>
      <c r="C11" s="18">
        <f>SUM(C7:C10)</f>
        <v>-38</v>
      </c>
      <c r="D11" s="18">
        <f>SUM(D7:D10)</f>
        <v>93</v>
      </c>
      <c r="E11" s="18">
        <f>SUM(E7:E10)</f>
        <v>-31</v>
      </c>
      <c r="F11" s="18">
        <f>SUM(F7:F10)</f>
        <v>-34</v>
      </c>
      <c r="G11" s="14">
        <f>SUM(G7:G10)</f>
        <v>-10</v>
      </c>
      <c r="H11" s="15"/>
      <c r="I11" s="18">
        <f>SUM(I7:I10)</f>
        <v>-16</v>
      </c>
      <c r="J11" s="18">
        <f>SUM(J7:J10)</f>
        <v>3</v>
      </c>
      <c r="K11" s="18">
        <f>SUM(K7:K10)</f>
        <v>15</v>
      </c>
      <c r="L11" s="18">
        <f>SUM(L7:L10)</f>
        <v>-807</v>
      </c>
      <c r="M11" s="14">
        <f>SUM(M7:M10)</f>
        <v>-805</v>
      </c>
      <c r="O11" s="18">
        <f>SUM(O7:O10)</f>
        <v>14</v>
      </c>
      <c r="P11" s="18">
        <f>SUM(P7:P10)</f>
        <v>50</v>
      </c>
      <c r="Q11" s="18">
        <f>SUM(Q7:Q10)</f>
        <v>56</v>
      </c>
      <c r="R11" s="18">
        <f>SUM(R7:R10)</f>
        <v>29</v>
      </c>
      <c r="S11" s="14">
        <f>SUM(S7:S10)</f>
        <v>149</v>
      </c>
      <c r="U11" s="18">
        <f>SUM(U7:U10)</f>
        <v>19</v>
      </c>
      <c r="V11" s="18">
        <f>SUM(V7:V10)</f>
        <v>88</v>
      </c>
      <c r="W11" s="18">
        <f>SUM(W7:W10)</f>
        <v>147</v>
      </c>
      <c r="X11" s="18">
        <f>SUM(X7:X10)</f>
        <v>70</v>
      </c>
      <c r="Y11" s="14">
        <f>SUM(Y7:Y10)</f>
        <v>324</v>
      </c>
      <c r="AA11" s="18">
        <f>SUM(AA7:AA10)</f>
        <v>23</v>
      </c>
      <c r="AB11" s="18">
        <f>SUM(AB7:AB10)</f>
        <v>-91</v>
      </c>
      <c r="AC11" s="18">
        <f>SUM(AC7:AC10)</f>
        <v>146</v>
      </c>
      <c r="AD11" s="18">
        <f>SUM(AD7:AD10)</f>
        <v>104</v>
      </c>
      <c r="AE11" s="14">
        <f>SUM(AE7:AE10)</f>
        <v>182</v>
      </c>
      <c r="AG11" s="18">
        <f>SUM(AG7:AG10)</f>
        <v>74</v>
      </c>
      <c r="AH11" s="18">
        <f>SUM(AH7:AH10)</f>
        <v>125</v>
      </c>
      <c r="AI11" s="18">
        <f>SUM(AI7:AI10)</f>
        <v>139</v>
      </c>
      <c r="AJ11" s="18">
        <f>SUM(AJ7:AJ10)</f>
        <v>153</v>
      </c>
      <c r="AK11" s="14">
        <f>SUM(AK7:AK10)</f>
        <v>491</v>
      </c>
      <c r="AM11" s="18">
        <f>SUM(AM7:AM10)</f>
        <v>124</v>
      </c>
      <c r="AN11" s="18">
        <f>SUM(AN7:AN10)</f>
        <v>324</v>
      </c>
      <c r="AO11" s="18">
        <f>SUM(AO7:AO10)</f>
        <v>202</v>
      </c>
      <c r="AP11" s="18">
        <f>SUM(AP7:AP10)</f>
        <v>168</v>
      </c>
      <c r="AQ11" s="14">
        <f>SUM(AQ7:AQ10)</f>
        <v>818</v>
      </c>
      <c r="AS11" s="18">
        <f>SUM(AS7:AS10)</f>
        <v>191</v>
      </c>
      <c r="AT11" s="18">
        <f>SUM(AT7:AT10)</f>
        <v>331</v>
      </c>
      <c r="AU11" s="18">
        <f>SUM(AU7:AU10)</f>
        <v>248</v>
      </c>
      <c r="AV11" s="18">
        <f>SUM(AV7:AV10)</f>
        <v>363</v>
      </c>
      <c r="AW11" s="14">
        <f>SUM(AW7:AW10)</f>
        <v>1133</v>
      </c>
      <c r="AY11" s="91">
        <f>SUM(AY7:AY10)</f>
        <v>226</v>
      </c>
      <c r="AZ11" s="91">
        <f>SUM(AZ7:AZ10)</f>
        <v>377</v>
      </c>
      <c r="BA11" s="91">
        <f>SUM(BA7:BA10)</f>
        <v>241</v>
      </c>
      <c r="BB11" s="91">
        <f>SUM(BB7:BB10)</f>
        <v>-26</v>
      </c>
      <c r="BC11" s="92">
        <f>SUM(BC7:BC10)</f>
        <v>818</v>
      </c>
      <c r="BE11" s="91">
        <f>SUM(BE7:BE10)</f>
        <v>36</v>
      </c>
      <c r="BF11" s="91">
        <f>SUM(BF7:BF10)</f>
        <v>146</v>
      </c>
      <c r="BG11" s="91">
        <f>SUM(BG7:BG10)</f>
        <v>131</v>
      </c>
      <c r="BH11" s="91">
        <f>SUM(BH7:BH10)</f>
        <v>103</v>
      </c>
      <c r="BI11" s="92">
        <f>SUM(BI7:BI10)</f>
        <v>416</v>
      </c>
      <c r="BK11" s="91">
        <f>SUM(BK7:BK10)</f>
        <v>120</v>
      </c>
      <c r="BL11" s="91">
        <f>SUM(BL7:BL10)</f>
        <v>160</v>
      </c>
      <c r="BM11" s="91">
        <f>SUM(BM7:BM10)</f>
        <v>148</v>
      </c>
      <c r="BN11" s="91">
        <f>SUM(BN7:BN10)</f>
        <v>52</v>
      </c>
      <c r="BO11" s="92">
        <f>SUM(BO7:BO10)</f>
        <v>480</v>
      </c>
      <c r="BQ11" s="91">
        <f>SUM(BQ7:BQ10)</f>
        <v>97</v>
      </c>
      <c r="BR11" s="91">
        <f>SUM(BR7:BR10)</f>
        <v>96</v>
      </c>
      <c r="BS11" s="91">
        <f>SUM(BS7:BS10)</f>
        <v>185</v>
      </c>
      <c r="BT11" s="91">
        <f>SUM(BT7:BT10)</f>
        <v>67</v>
      </c>
      <c r="BU11" s="92">
        <f>SUM(BU7:BU10)</f>
        <v>445</v>
      </c>
      <c r="BW11" s="91">
        <f>SUM(BW7:BW10)</f>
        <v>103</v>
      </c>
      <c r="BX11" s="91">
        <f>SUM(BX7:BX10)</f>
        <v>99</v>
      </c>
      <c r="BY11" s="91">
        <f>SUM(BY7:BY10)</f>
        <v>102</v>
      </c>
      <c r="BZ11" s="91">
        <f>SUM(BZ7:BZ10)</f>
        <v>169</v>
      </c>
      <c r="CA11" s="92">
        <f>SUM(CA7:CA10)</f>
        <v>473</v>
      </c>
      <c r="CC11" s="91">
        <f>SUM(CC7:CC10)</f>
        <v>88</v>
      </c>
      <c r="CD11" s="91">
        <f>SUM(CD7:CD10)</f>
        <v>149</v>
      </c>
      <c r="CE11" s="91">
        <f>SUM(CE7:CE10)</f>
        <v>105</v>
      </c>
      <c r="CF11" s="91">
        <f>SUM(CF7:CF10)</f>
        <v>166</v>
      </c>
      <c r="CG11" s="92">
        <f>SUM(CG7:CG10)</f>
        <v>508</v>
      </c>
      <c r="CI11" s="91">
        <f>SUM(CI7:CI10)</f>
        <v>161</v>
      </c>
      <c r="CJ11" s="91">
        <f>SUM(CJ7:CJ10)</f>
        <v>86</v>
      </c>
      <c r="CK11" s="91">
        <f>SUM(CK7:CK10)</f>
        <v>97</v>
      </c>
      <c r="CL11" s="91">
        <f>SUM(CL7:CL10)</f>
        <v>161</v>
      </c>
      <c r="CM11" s="92">
        <f>SUM(CM7:CM10)</f>
        <v>505</v>
      </c>
    </row>
    <row r="12" spans="1:91" hidden="1">
      <c r="A12" s="4" t="s">
        <v>71</v>
      </c>
      <c r="C12" s="13">
        <f>-18</f>
        <v>-18</v>
      </c>
      <c r="D12" s="13">
        <f>-21+2</f>
        <v>-19</v>
      </c>
      <c r="E12" s="13">
        <f>-20+3</f>
        <v>-17</v>
      </c>
      <c r="F12" s="13">
        <f>-23+4</f>
        <v>-19</v>
      </c>
      <c r="G12" s="14">
        <f>SUM(C12:F12)</f>
        <v>-73</v>
      </c>
      <c r="H12" s="15"/>
      <c r="I12" s="13">
        <f>-21+3</f>
        <v>-18</v>
      </c>
      <c r="J12" s="13">
        <f>-21+2</f>
        <v>-19</v>
      </c>
      <c r="K12" s="13">
        <f>-22+3</f>
        <v>-19</v>
      </c>
      <c r="L12" s="13">
        <f>-22+1</f>
        <v>-21</v>
      </c>
      <c r="M12" s="14">
        <f>SUM(I12:L12)</f>
        <v>-77</v>
      </c>
      <c r="O12" s="13">
        <f>-17+2</f>
        <v>-15</v>
      </c>
      <c r="P12" s="13">
        <f>-16+2</f>
        <v>-14</v>
      </c>
      <c r="Q12" s="13">
        <f>-18+5</f>
        <v>-13</v>
      </c>
      <c r="R12" s="13">
        <f>-20+5</f>
        <v>-15</v>
      </c>
      <c r="S12" s="14">
        <f>SUM(O12:R12)</f>
        <v>-57</v>
      </c>
      <c r="U12" s="13">
        <v>-15</v>
      </c>
      <c r="V12" s="13">
        <v>-21</v>
      </c>
      <c r="W12" s="13">
        <v>-22</v>
      </c>
      <c r="X12" s="13">
        <v>-19</v>
      </c>
      <c r="Y12" s="14">
        <f>SUM(U12:X12)</f>
        <v>-77</v>
      </c>
      <c r="AA12" s="13"/>
      <c r="AB12" s="13"/>
      <c r="AC12" s="13"/>
      <c r="AD12" s="13"/>
      <c r="AE12" s="14">
        <f>SUM(AA12:AD12)</f>
        <v>0</v>
      </c>
      <c r="AG12" s="13"/>
      <c r="AH12" s="13"/>
      <c r="AI12" s="13"/>
      <c r="AJ12" s="13"/>
      <c r="AK12" s="14">
        <f>SUM(AG12:AJ12)</f>
        <v>0</v>
      </c>
      <c r="AM12" s="13"/>
      <c r="AN12" s="13"/>
      <c r="AO12" s="13"/>
      <c r="AP12" s="13"/>
      <c r="AQ12" s="14">
        <f>SUM(AM12:AP12)</f>
        <v>0</v>
      </c>
      <c r="AS12" s="13"/>
      <c r="AT12" s="13"/>
      <c r="AU12" s="13"/>
      <c r="AV12" s="13"/>
      <c r="AW12" s="14">
        <f>SUM(AS12:AV12)</f>
        <v>0</v>
      </c>
      <c r="AY12" s="13"/>
      <c r="AZ12" s="13"/>
      <c r="BA12" s="13"/>
      <c r="BB12" s="13"/>
      <c r="BC12" s="14">
        <f>SUM(AY12:BB12)</f>
        <v>0</v>
      </c>
      <c r="BE12" s="13"/>
      <c r="BF12" s="13"/>
      <c r="BG12" s="13"/>
      <c r="BH12" s="13"/>
      <c r="BI12" s="14">
        <f>SUM(BE12:BH12)</f>
        <v>0</v>
      </c>
      <c r="BK12" s="13"/>
      <c r="BL12" s="13"/>
      <c r="BM12" s="13"/>
      <c r="BN12" s="13"/>
      <c r="BO12" s="14">
        <f>SUM(BK12:BN12)</f>
        <v>0</v>
      </c>
      <c r="BQ12" s="13"/>
      <c r="BR12" s="13"/>
      <c r="BS12" s="13"/>
      <c r="BT12" s="13"/>
      <c r="BU12" s="14">
        <f>SUM(BQ12:BT12)</f>
        <v>0</v>
      </c>
      <c r="BW12" s="13"/>
      <c r="BX12" s="13"/>
      <c r="BY12" s="13"/>
      <c r="BZ12" s="13"/>
      <c r="CA12" s="14">
        <f>SUM(BW12:BZ12)</f>
        <v>0</v>
      </c>
      <c r="CC12" s="13"/>
      <c r="CD12" s="13"/>
      <c r="CE12" s="13"/>
      <c r="CF12" s="13"/>
      <c r="CG12" s="14">
        <f>SUM(CC12:CF12)</f>
        <v>0</v>
      </c>
      <c r="CI12" s="13"/>
      <c r="CJ12" s="13"/>
      <c r="CK12" s="13"/>
      <c r="CL12" s="13"/>
      <c r="CM12" s="14">
        <f>SUM(CI12:CL12)</f>
        <v>0</v>
      </c>
    </row>
    <row r="13" spans="1:91">
      <c r="A13" s="4" t="s">
        <v>122</v>
      </c>
      <c r="C13" s="19">
        <v>0</v>
      </c>
      <c r="D13" s="19">
        <v>0</v>
      </c>
      <c r="E13" s="19">
        <v>0</v>
      </c>
      <c r="F13" s="19">
        <v>0</v>
      </c>
      <c r="G13" s="20">
        <f>SUM(C13:F13)</f>
        <v>0</v>
      </c>
      <c r="H13" s="15"/>
      <c r="I13" s="19">
        <v>0</v>
      </c>
      <c r="J13" s="19">
        <v>0</v>
      </c>
      <c r="K13" s="19">
        <v>0</v>
      </c>
      <c r="L13" s="19">
        <f>-47+6</f>
        <v>-41</v>
      </c>
      <c r="M13" s="20">
        <f>SUM(I13:L13)</f>
        <v>-41</v>
      </c>
      <c r="O13" s="19">
        <v>0</v>
      </c>
      <c r="P13" s="19"/>
      <c r="Q13" s="19">
        <v>0</v>
      </c>
      <c r="R13" s="19">
        <v>0</v>
      </c>
      <c r="S13" s="20">
        <f>SUM(O13:R13)</f>
        <v>0</v>
      </c>
      <c r="U13" s="19">
        <v>0</v>
      </c>
      <c r="V13" s="19">
        <v>0</v>
      </c>
      <c r="W13" s="19">
        <v>0</v>
      </c>
      <c r="X13" s="19">
        <v>0</v>
      </c>
      <c r="Y13" s="20">
        <f>SUM(U13:X13)</f>
        <v>0</v>
      </c>
      <c r="AA13" s="19"/>
      <c r="AB13" s="19"/>
      <c r="AC13" s="19"/>
      <c r="AD13" s="19"/>
      <c r="AE13" s="20">
        <f>SUM(AA13:AD13)</f>
        <v>0</v>
      </c>
      <c r="AG13" s="19"/>
      <c r="AH13" s="19"/>
      <c r="AI13" s="19"/>
      <c r="AJ13" s="19">
        <v>-6</v>
      </c>
      <c r="AK13" s="20">
        <f>SUM(AG13:AJ13)</f>
        <v>-6</v>
      </c>
      <c r="AM13" s="19"/>
      <c r="AN13" s="19"/>
      <c r="AO13" s="19"/>
      <c r="AP13" s="19"/>
      <c r="AQ13" s="20">
        <f>SUM(AM13:AP13)</f>
        <v>0</v>
      </c>
      <c r="AS13" s="19"/>
      <c r="AT13" s="19"/>
      <c r="AU13" s="19"/>
      <c r="AV13" s="19"/>
      <c r="AW13" s="20">
        <f>SUM(AS13:AV13)</f>
        <v>0</v>
      </c>
      <c r="AY13" s="19"/>
      <c r="AZ13" s="19"/>
      <c r="BA13" s="19"/>
      <c r="BB13" s="19"/>
      <c r="BC13" s="20">
        <f>SUM(AY13:BB13)</f>
        <v>0</v>
      </c>
      <c r="BE13" s="19"/>
      <c r="BF13" s="19"/>
      <c r="BG13" s="19"/>
      <c r="BH13" s="19"/>
      <c r="BI13" s="20">
        <f>SUM(BE13:BH13)</f>
        <v>0</v>
      </c>
      <c r="BK13" s="19">
        <v>0</v>
      </c>
      <c r="BL13" s="19">
        <v>0</v>
      </c>
      <c r="BM13" s="19">
        <v>0</v>
      </c>
      <c r="BN13" s="19">
        <v>0</v>
      </c>
      <c r="BO13" s="20">
        <f>SUM(BK13:BN13)</f>
        <v>0</v>
      </c>
      <c r="BQ13" s="19">
        <v>0</v>
      </c>
      <c r="BR13" s="19">
        <v>0</v>
      </c>
      <c r="BS13" s="19">
        <v>0</v>
      </c>
      <c r="BT13" s="19">
        <v>0</v>
      </c>
      <c r="BU13" s="20">
        <f>SUM(BQ13:BT13)</f>
        <v>0</v>
      </c>
      <c r="BW13" s="19">
        <v>0</v>
      </c>
      <c r="BX13" s="19">
        <v>0</v>
      </c>
      <c r="BY13" s="19">
        <v>0</v>
      </c>
      <c r="BZ13" s="19">
        <v>0</v>
      </c>
      <c r="CA13" s="20">
        <f>SUM(BW13:BZ13)</f>
        <v>0</v>
      </c>
      <c r="CC13" s="19">
        <v>0</v>
      </c>
      <c r="CD13" s="19">
        <v>0</v>
      </c>
      <c r="CE13" s="19">
        <v>0</v>
      </c>
      <c r="CF13" s="19">
        <v>0</v>
      </c>
      <c r="CG13" s="20">
        <f>SUM(CC13:CF13)</f>
        <v>0</v>
      </c>
      <c r="CI13" s="19">
        <v>0</v>
      </c>
      <c r="CJ13" s="19">
        <v>0</v>
      </c>
      <c r="CK13" s="19">
        <v>0</v>
      </c>
      <c r="CL13" s="19">
        <v>0</v>
      </c>
      <c r="CM13" s="20">
        <f>SUM(CI13:CL13)</f>
        <v>0</v>
      </c>
    </row>
    <row r="14" spans="1:91" s="11" customFormat="1" ht="18.75" customHeight="1">
      <c r="A14" s="11" t="s">
        <v>2</v>
      </c>
      <c r="B14" s="6"/>
      <c r="C14" s="18">
        <f>SUM(C11:C13)</f>
        <v>-56</v>
      </c>
      <c r="D14" s="18">
        <f>SUM(D11:D13)</f>
        <v>74</v>
      </c>
      <c r="E14" s="18">
        <f>SUM(E11:E13)</f>
        <v>-48</v>
      </c>
      <c r="F14" s="18">
        <f>SUM(F11:F13)</f>
        <v>-53</v>
      </c>
      <c r="G14" s="14">
        <f>SUM(G11:G13)</f>
        <v>-83</v>
      </c>
      <c r="H14" s="15"/>
      <c r="I14" s="18">
        <f>SUM(I11:I13)</f>
        <v>-34</v>
      </c>
      <c r="J14" s="18">
        <f>SUM(J11:J13)</f>
        <v>-16</v>
      </c>
      <c r="K14" s="18">
        <f>SUM(K11:K13)</f>
        <v>-4</v>
      </c>
      <c r="L14" s="18">
        <f>SUM(L11:L13)</f>
        <v>-869</v>
      </c>
      <c r="M14" s="14">
        <f>SUM(M11:M13)</f>
        <v>-923</v>
      </c>
      <c r="O14" s="18">
        <f>SUM(O11:O13)</f>
        <v>-1</v>
      </c>
      <c r="P14" s="18">
        <f>SUM(P11:P13)</f>
        <v>36</v>
      </c>
      <c r="Q14" s="18">
        <f>SUM(Q11:Q13)</f>
        <v>43</v>
      </c>
      <c r="R14" s="18">
        <f>SUM(R11:R13)</f>
        <v>14</v>
      </c>
      <c r="S14" s="14">
        <f>SUM(S11:S13)</f>
        <v>92</v>
      </c>
      <c r="U14" s="18">
        <f>SUM(U11:U13)</f>
        <v>4</v>
      </c>
      <c r="V14" s="18">
        <f>SUM(V11:V13)</f>
        <v>67</v>
      </c>
      <c r="W14" s="18">
        <f>SUM(W11:W13)</f>
        <v>125</v>
      </c>
      <c r="X14" s="18">
        <f>SUM(X11:X13)</f>
        <v>51</v>
      </c>
      <c r="Y14" s="14">
        <f>SUM(Y11:Y13)</f>
        <v>247</v>
      </c>
      <c r="AA14" s="18">
        <f>SUM(AA11:AA13)</f>
        <v>23</v>
      </c>
      <c r="AB14" s="18">
        <f>SUM(AB11:AB13)</f>
        <v>-91</v>
      </c>
      <c r="AC14" s="18">
        <f>SUM(AC11:AC13)</f>
        <v>146</v>
      </c>
      <c r="AD14" s="18">
        <f>SUM(AD11:AD13)</f>
        <v>104</v>
      </c>
      <c r="AE14" s="14">
        <f>SUM(AE11:AE13)</f>
        <v>182</v>
      </c>
      <c r="AG14" s="18">
        <f>SUM(AG11:AG13)</f>
        <v>74</v>
      </c>
      <c r="AH14" s="18">
        <f>SUM(AH11:AH13)</f>
        <v>125</v>
      </c>
      <c r="AI14" s="18">
        <f>SUM(AI11:AI13)</f>
        <v>139</v>
      </c>
      <c r="AJ14" s="18">
        <f>SUM(AJ11:AJ13)</f>
        <v>147</v>
      </c>
      <c r="AK14" s="14">
        <f>SUM(AK11:AK13)</f>
        <v>485</v>
      </c>
      <c r="AM14" s="18">
        <f>SUM(AM11:AM13)</f>
        <v>124</v>
      </c>
      <c r="AN14" s="18">
        <f>SUM(AN11:AN13)</f>
        <v>324</v>
      </c>
      <c r="AO14" s="18">
        <f>SUM(AO11:AO13)</f>
        <v>202</v>
      </c>
      <c r="AP14" s="18">
        <f>SUM(AP11:AP13)</f>
        <v>168</v>
      </c>
      <c r="AQ14" s="14">
        <f>SUM(AQ11:AQ13)</f>
        <v>818</v>
      </c>
      <c r="AS14" s="18">
        <f>SUM(AS11:AS13)</f>
        <v>191</v>
      </c>
      <c r="AT14" s="18">
        <f>SUM(AT11:AT13)</f>
        <v>331</v>
      </c>
      <c r="AU14" s="18">
        <f>SUM(AU11:AU13)</f>
        <v>248</v>
      </c>
      <c r="AV14" s="18">
        <f>SUM(AV11:AV13)</f>
        <v>363</v>
      </c>
      <c r="AW14" s="14">
        <f>SUM(AW11:AW13)</f>
        <v>1133</v>
      </c>
      <c r="AY14" s="18">
        <f>SUM(AY11:AY13)</f>
        <v>226</v>
      </c>
      <c r="AZ14" s="18">
        <f>SUM(AZ11:AZ13)</f>
        <v>377</v>
      </c>
      <c r="BA14" s="18">
        <f>SUM(BA11:BA13)</f>
        <v>241</v>
      </c>
      <c r="BB14" s="18">
        <f>SUM(BB11:BB13)</f>
        <v>-26</v>
      </c>
      <c r="BC14" s="14">
        <f>SUM(BC11:BC13)</f>
        <v>818</v>
      </c>
      <c r="BE14" s="18">
        <f>SUM(BE11:BE13)</f>
        <v>36</v>
      </c>
      <c r="BF14" s="18">
        <f>SUM(BF11:BF13)</f>
        <v>146</v>
      </c>
      <c r="BG14" s="18">
        <f>SUM(BG11:BG13)</f>
        <v>131</v>
      </c>
      <c r="BH14" s="18">
        <f>SUM(BH11:BH13)</f>
        <v>103</v>
      </c>
      <c r="BI14" s="14">
        <f>SUM(BI11:BI13)</f>
        <v>416</v>
      </c>
      <c r="BK14" s="18">
        <f>SUM(BK11:BK13)</f>
        <v>120</v>
      </c>
      <c r="BL14" s="18">
        <f>SUM(BL11:BL13)</f>
        <v>160</v>
      </c>
      <c r="BM14" s="18">
        <f>SUM(BM11:BM13)</f>
        <v>148</v>
      </c>
      <c r="BN14" s="18">
        <f>SUM(BN11:BN13)</f>
        <v>52</v>
      </c>
      <c r="BO14" s="14">
        <f>SUM(BO11:BO13)</f>
        <v>480</v>
      </c>
      <c r="BQ14" s="18">
        <f>SUM(BQ11:BQ13)</f>
        <v>97</v>
      </c>
      <c r="BR14" s="18">
        <f>SUM(BR11:BR13)</f>
        <v>96</v>
      </c>
      <c r="BS14" s="18">
        <f>SUM(BS11:BS13)</f>
        <v>185</v>
      </c>
      <c r="BT14" s="18">
        <f>SUM(BT11:BT13)</f>
        <v>67</v>
      </c>
      <c r="BU14" s="14">
        <f>SUM(BU11:BU13)</f>
        <v>445</v>
      </c>
      <c r="BW14" s="18">
        <f>SUM(BW11:BW13)</f>
        <v>103</v>
      </c>
      <c r="BX14" s="18">
        <f>SUM(BX11:BX13)</f>
        <v>99</v>
      </c>
      <c r="BY14" s="18">
        <f>SUM(BY11:BY13)</f>
        <v>102</v>
      </c>
      <c r="BZ14" s="18">
        <f>SUM(BZ11:BZ13)</f>
        <v>169</v>
      </c>
      <c r="CA14" s="14">
        <f>SUM(CA11:CA13)</f>
        <v>473</v>
      </c>
      <c r="CC14" s="18">
        <f>SUM(CC11:CC13)</f>
        <v>88</v>
      </c>
      <c r="CD14" s="18">
        <f>SUM(CD11:CD13)</f>
        <v>149</v>
      </c>
      <c r="CE14" s="18">
        <f>SUM(CE11:CE13)</f>
        <v>105</v>
      </c>
      <c r="CF14" s="18">
        <f>SUM(CF11:CF13)</f>
        <v>166</v>
      </c>
      <c r="CG14" s="14">
        <f>SUM(CG11:CG13)</f>
        <v>508</v>
      </c>
      <c r="CI14" s="18">
        <f>SUM(CI11:CI13)</f>
        <v>161</v>
      </c>
      <c r="CJ14" s="18">
        <f>SUM(CJ11:CJ13)</f>
        <v>86</v>
      </c>
      <c r="CK14" s="18">
        <f>SUM(CK11:CK13)</f>
        <v>97</v>
      </c>
      <c r="CL14" s="18">
        <f>SUM(CL11:CL13)</f>
        <v>161</v>
      </c>
      <c r="CM14" s="14">
        <f>SUM(CM11:CM13)</f>
        <v>505</v>
      </c>
    </row>
    <row r="15" spans="1:91">
      <c r="A15" s="4" t="s">
        <v>4</v>
      </c>
      <c r="C15" s="19">
        <v>51</v>
      </c>
      <c r="D15" s="19">
        <v>8</v>
      </c>
      <c r="E15" s="19">
        <v>-7</v>
      </c>
      <c r="F15" s="19">
        <v>-14</v>
      </c>
      <c r="G15" s="20">
        <f>SUM(C15:F15)</f>
        <v>38</v>
      </c>
      <c r="H15" s="15"/>
      <c r="I15" s="19">
        <v>-3</v>
      </c>
      <c r="J15" s="19">
        <v>-10</v>
      </c>
      <c r="K15" s="19">
        <v>-2</v>
      </c>
      <c r="L15" s="19">
        <v>-2</v>
      </c>
      <c r="M15" s="20">
        <f>SUM(I15:L15)</f>
        <v>-17</v>
      </c>
      <c r="O15" s="19">
        <v>-1</v>
      </c>
      <c r="P15" s="19">
        <v>-5</v>
      </c>
      <c r="Q15" s="19">
        <v>-2</v>
      </c>
      <c r="R15" s="19">
        <v>24</v>
      </c>
      <c r="S15" s="20">
        <f>SUM(O15:R15)</f>
        <v>16</v>
      </c>
      <c r="U15" s="19">
        <v>-1</v>
      </c>
      <c r="V15" s="19">
        <v>-13</v>
      </c>
      <c r="W15" s="19">
        <v>-16</v>
      </c>
      <c r="X15" s="19">
        <v>20</v>
      </c>
      <c r="Y15" s="20">
        <f>SUM(U15:X15)</f>
        <v>-10</v>
      </c>
      <c r="AA15" s="19">
        <v>0</v>
      </c>
      <c r="AB15" s="19">
        <v>-11</v>
      </c>
      <c r="AC15" s="19">
        <v>-13</v>
      </c>
      <c r="AD15" s="19">
        <v>0</v>
      </c>
      <c r="AE15" s="20">
        <f>SUM(AA15:AD15)</f>
        <v>-24</v>
      </c>
      <c r="AG15" s="19">
        <v>-15</v>
      </c>
      <c r="AH15" s="19">
        <v>1</v>
      </c>
      <c r="AI15" s="19">
        <v>-1</v>
      </c>
      <c r="AJ15" s="19">
        <v>-7</v>
      </c>
      <c r="AK15" s="20">
        <f>SUM(AG15:AJ15)</f>
        <v>-22</v>
      </c>
      <c r="AM15" s="19">
        <v>-14</v>
      </c>
      <c r="AN15" s="19">
        <v>-12</v>
      </c>
      <c r="AO15" s="19">
        <v>-9</v>
      </c>
      <c r="AP15" s="19">
        <v>-14</v>
      </c>
      <c r="AQ15" s="20">
        <f>SUM(AM15:AP15)</f>
        <v>-49</v>
      </c>
      <c r="AS15" s="19">
        <v>-31</v>
      </c>
      <c r="AT15" s="19">
        <v>-23</v>
      </c>
      <c r="AU15" s="19">
        <v>-33</v>
      </c>
      <c r="AV15" s="19">
        <v>-58</v>
      </c>
      <c r="AW15" s="20">
        <f>SUM(AS15:AV15)</f>
        <v>-145</v>
      </c>
      <c r="AY15" s="19">
        <v>-42</v>
      </c>
      <c r="AZ15" s="19">
        <v>-68</v>
      </c>
      <c r="BA15" s="19">
        <v>-54</v>
      </c>
      <c r="BB15" s="19">
        <v>-62</v>
      </c>
      <c r="BC15" s="20">
        <f>SUM(AY15:BB15)</f>
        <v>-226</v>
      </c>
      <c r="BE15" s="19">
        <v>-35</v>
      </c>
      <c r="BF15" s="19">
        <v>-26</v>
      </c>
      <c r="BG15" s="19">
        <v>-24</v>
      </c>
      <c r="BH15" s="19">
        <v>-40</v>
      </c>
      <c r="BI15" s="20">
        <f>SUM(BE15:BH15)</f>
        <v>-125</v>
      </c>
      <c r="BK15" s="19">
        <v>-27</v>
      </c>
      <c r="BL15" s="19">
        <v>-22</v>
      </c>
      <c r="BM15" s="19">
        <v>-43</v>
      </c>
      <c r="BN15" s="19">
        <v>-43</v>
      </c>
      <c r="BO15" s="20">
        <f>SUM(BK15:BN15)</f>
        <v>-135</v>
      </c>
      <c r="BQ15" s="19">
        <v>-43</v>
      </c>
      <c r="BR15" s="19">
        <v>-61</v>
      </c>
      <c r="BS15" s="19">
        <v>-106</v>
      </c>
      <c r="BT15" s="19">
        <v>-70</v>
      </c>
      <c r="BU15" s="20">
        <f>SUM(BQ15:BT15)</f>
        <v>-280</v>
      </c>
      <c r="BW15" s="19">
        <v>-59</v>
      </c>
      <c r="BX15" s="19">
        <v>-52</v>
      </c>
      <c r="BY15" s="19">
        <v>-44</v>
      </c>
      <c r="BZ15" s="19">
        <v>-41</v>
      </c>
      <c r="CA15" s="20">
        <f>SUM(BW15:BZ15)</f>
        <v>-196</v>
      </c>
      <c r="CC15" s="19">
        <v>-48</v>
      </c>
      <c r="CD15" s="19">
        <v>-40</v>
      </c>
      <c r="CE15" s="19">
        <v>-36</v>
      </c>
      <c r="CF15" s="19">
        <v>-36</v>
      </c>
      <c r="CG15" s="20">
        <f>SUM(CC15:CF15)</f>
        <v>-160</v>
      </c>
      <c r="CI15" s="19">
        <v>-25</v>
      </c>
      <c r="CJ15" s="19">
        <v>-27</v>
      </c>
      <c r="CK15" s="19">
        <v>-21</v>
      </c>
      <c r="CL15" s="19">
        <v>-26</v>
      </c>
      <c r="CM15" s="20">
        <f>SUM(CI15:CL15)</f>
        <v>-99</v>
      </c>
    </row>
    <row r="16" spans="1:91" s="11" customFormat="1" ht="18.75" customHeight="1">
      <c r="A16" s="6" t="s">
        <v>5</v>
      </c>
      <c r="B16" s="6"/>
      <c r="C16" s="18">
        <f>SUM(C14:C15)</f>
        <v>-5</v>
      </c>
      <c r="D16" s="18">
        <f>SUM(D14:D15)</f>
        <v>82</v>
      </c>
      <c r="E16" s="18">
        <f>SUM(E14:E15)</f>
        <v>-55</v>
      </c>
      <c r="F16" s="18">
        <f>SUM(F14:F15)</f>
        <v>-67</v>
      </c>
      <c r="G16" s="14">
        <f>SUM(G14:G15)</f>
        <v>-45</v>
      </c>
      <c r="H16" s="15"/>
      <c r="I16" s="18">
        <f>SUM(I14:I15)</f>
        <v>-37</v>
      </c>
      <c r="J16" s="18">
        <f>SUM(J14:J15)</f>
        <v>-26</v>
      </c>
      <c r="K16" s="18">
        <f>SUM(K14:K15)</f>
        <v>-6</v>
      </c>
      <c r="L16" s="18">
        <f>SUM(L14:L15)</f>
        <v>-871</v>
      </c>
      <c r="M16" s="14">
        <f>SUM(M14:M15)</f>
        <v>-940</v>
      </c>
      <c r="O16" s="18">
        <f>SUM(O14:O15)</f>
        <v>-2</v>
      </c>
      <c r="P16" s="18">
        <f>SUM(P14:P15)</f>
        <v>31</v>
      </c>
      <c r="Q16" s="18">
        <f>SUM(Q14:Q15)</f>
        <v>41</v>
      </c>
      <c r="R16" s="18">
        <f>SUM(R14:R15)</f>
        <v>38</v>
      </c>
      <c r="S16" s="14">
        <f>SUM(S14:S15)</f>
        <v>108</v>
      </c>
      <c r="U16" s="18">
        <f>SUM(U14:U15)</f>
        <v>3</v>
      </c>
      <c r="V16" s="18">
        <f>SUM(V14:V15)</f>
        <v>54</v>
      </c>
      <c r="W16" s="18">
        <f>SUM(W14:W15)</f>
        <v>109</v>
      </c>
      <c r="X16" s="18">
        <f>SUM(X14:X15)</f>
        <v>71</v>
      </c>
      <c r="Y16" s="14">
        <f>SUM(Y14:Y15)</f>
        <v>237</v>
      </c>
      <c r="AA16" s="18">
        <f>SUM(AA14:AA15)</f>
        <v>23</v>
      </c>
      <c r="AB16" s="18">
        <f>SUM(AB14:AB15)</f>
        <v>-102</v>
      </c>
      <c r="AC16" s="18">
        <f>SUM(AC14:AC15)</f>
        <v>133</v>
      </c>
      <c r="AD16" s="18">
        <f>SUM(AD14:AD15)</f>
        <v>104</v>
      </c>
      <c r="AE16" s="14">
        <f>SUM(AE14:AE15)</f>
        <v>158</v>
      </c>
      <c r="AG16" s="18">
        <f>SUM(AG14:AG15)</f>
        <v>59</v>
      </c>
      <c r="AH16" s="18">
        <f>SUM(AH14:AH15)</f>
        <v>126</v>
      </c>
      <c r="AI16" s="18">
        <f>SUM(AI14:AI15)</f>
        <v>138</v>
      </c>
      <c r="AJ16" s="18">
        <f>SUM(AJ14:AJ15)</f>
        <v>140</v>
      </c>
      <c r="AK16" s="14">
        <f>SUM(AK14:AK15)</f>
        <v>463</v>
      </c>
      <c r="AM16" s="18">
        <f>SUM(AM14:AM15)</f>
        <v>110</v>
      </c>
      <c r="AN16" s="18">
        <f>SUM(AN14:AN15)</f>
        <v>312</v>
      </c>
      <c r="AO16" s="18">
        <f>SUM(AO14:AO15)</f>
        <v>193</v>
      </c>
      <c r="AP16" s="18">
        <f>SUM(AP14:AP15)</f>
        <v>154</v>
      </c>
      <c r="AQ16" s="14">
        <f>SUM(AQ14:AQ15)</f>
        <v>769</v>
      </c>
      <c r="AS16" s="18">
        <f>SUM(AS14:AS15)</f>
        <v>160</v>
      </c>
      <c r="AT16" s="18">
        <f>SUM(AT14:AT15)</f>
        <v>308</v>
      </c>
      <c r="AU16" s="18">
        <f>SUM(AU14:AU15)</f>
        <v>215</v>
      </c>
      <c r="AV16" s="18">
        <f>SUM(AV14:AV15)</f>
        <v>305</v>
      </c>
      <c r="AW16" s="14">
        <f>SUM(AW14:AW15)</f>
        <v>988</v>
      </c>
      <c r="AY16" s="18">
        <f>SUM(AY14:AY15)</f>
        <v>184</v>
      </c>
      <c r="AZ16" s="18">
        <f>SUM(AZ14:AZ15)</f>
        <v>309</v>
      </c>
      <c r="BA16" s="18">
        <f>SUM(BA14:BA15)</f>
        <v>187</v>
      </c>
      <c r="BB16" s="18">
        <f>SUM(BB14:BB15)</f>
        <v>-88</v>
      </c>
      <c r="BC16" s="14">
        <f>SUM(BC14:BC15)</f>
        <v>592</v>
      </c>
      <c r="BE16" s="18">
        <f>SUM(BE14:BE15)</f>
        <v>1</v>
      </c>
      <c r="BF16" s="18">
        <f>SUM(BF14:BF15)</f>
        <v>120</v>
      </c>
      <c r="BG16" s="18">
        <f>SUM(BG14:BG15)</f>
        <v>107</v>
      </c>
      <c r="BH16" s="18">
        <f>SUM(BH14:BH15)</f>
        <v>63</v>
      </c>
      <c r="BI16" s="14">
        <f>SUM(BI14:BI15)</f>
        <v>291</v>
      </c>
      <c r="BK16" s="18">
        <f>SUM(BK14:BK15)</f>
        <v>93</v>
      </c>
      <c r="BL16" s="18">
        <f>SUM(BL14:BL15)</f>
        <v>138</v>
      </c>
      <c r="BM16" s="18">
        <f>SUM(BM14:BM15)</f>
        <v>105</v>
      </c>
      <c r="BN16" s="18">
        <f>SUM(BN14:BN15)</f>
        <v>9</v>
      </c>
      <c r="BO16" s="14">
        <f>SUM(BO14:BO15)</f>
        <v>345</v>
      </c>
      <c r="BQ16" s="18">
        <f>SUM(BQ14:BQ15)</f>
        <v>54</v>
      </c>
      <c r="BR16" s="18">
        <f>SUM(BR14:BR15)</f>
        <v>35</v>
      </c>
      <c r="BS16" s="18">
        <f>SUM(BS14:BS15)</f>
        <v>79</v>
      </c>
      <c r="BT16" s="18">
        <f>SUM(BT14:BT15)</f>
        <v>-3</v>
      </c>
      <c r="BU16" s="14">
        <f>SUM(BU14:BU15)</f>
        <v>165</v>
      </c>
      <c r="BW16" s="18">
        <f>SUM(BW14:BW15)</f>
        <v>44</v>
      </c>
      <c r="BX16" s="18">
        <f>SUM(BX14:BX15)</f>
        <v>47</v>
      </c>
      <c r="BY16" s="18">
        <f>SUM(BY14:BY15)</f>
        <v>58</v>
      </c>
      <c r="BZ16" s="18">
        <f>SUM(BZ14:BZ15)</f>
        <v>128</v>
      </c>
      <c r="CA16" s="14">
        <f>SUM(CA14:CA15)</f>
        <v>277</v>
      </c>
      <c r="CC16" s="18">
        <f>SUM(CC14:CC15)</f>
        <v>40</v>
      </c>
      <c r="CD16" s="18">
        <f>SUM(CD14:CD15)</f>
        <v>109</v>
      </c>
      <c r="CE16" s="18">
        <f>SUM(CE14:CE15)</f>
        <v>69</v>
      </c>
      <c r="CF16" s="18">
        <f>SUM(CF14:CF15)</f>
        <v>130</v>
      </c>
      <c r="CG16" s="14">
        <f>SUM(CG14:CG15)</f>
        <v>348</v>
      </c>
      <c r="CI16" s="18">
        <f>SUM(CI14:CI15)</f>
        <v>136</v>
      </c>
      <c r="CJ16" s="18">
        <f>SUM(CJ14:CJ15)</f>
        <v>59</v>
      </c>
      <c r="CK16" s="18">
        <f>SUM(CK14:CK15)</f>
        <v>76</v>
      </c>
      <c r="CL16" s="18">
        <f>SUM(CL14:CL15)</f>
        <v>135</v>
      </c>
      <c r="CM16" s="14">
        <f>SUM(CM14:CM15)</f>
        <v>406</v>
      </c>
    </row>
    <row r="17" spans="1:91" s="11" customFormat="1" ht="12.75" customHeight="1">
      <c r="A17" s="4" t="s">
        <v>123</v>
      </c>
      <c r="B17" s="6"/>
      <c r="C17" s="18"/>
      <c r="D17" s="18"/>
      <c r="E17" s="18"/>
      <c r="F17" s="18"/>
      <c r="G17" s="14"/>
      <c r="H17" s="15"/>
      <c r="I17" s="18"/>
      <c r="J17" s="18"/>
      <c r="K17" s="18"/>
      <c r="L17" s="18"/>
      <c r="M17" s="14"/>
      <c r="O17" s="18"/>
      <c r="P17" s="18"/>
      <c r="Q17" s="18"/>
      <c r="R17" s="18"/>
      <c r="S17" s="14"/>
      <c r="U17" s="18"/>
      <c r="V17" s="18"/>
      <c r="W17" s="18"/>
      <c r="X17" s="18"/>
      <c r="Y17" s="14"/>
      <c r="AA17" s="18">
        <v>0</v>
      </c>
      <c r="AB17" s="18">
        <v>-1</v>
      </c>
      <c r="AC17" s="18">
        <v>5</v>
      </c>
      <c r="AD17" s="18">
        <v>-25</v>
      </c>
      <c r="AE17" s="14">
        <f>SUM(AA17:AD17)</f>
        <v>-21</v>
      </c>
      <c r="AG17" s="18">
        <v>1</v>
      </c>
      <c r="AH17" s="18">
        <v>0</v>
      </c>
      <c r="AI17" s="18">
        <v>0</v>
      </c>
      <c r="AJ17" s="18">
        <v>0</v>
      </c>
      <c r="AK17" s="14">
        <f>SUM(AG17:AJ17)</f>
        <v>1</v>
      </c>
      <c r="AM17" s="18">
        <v>0</v>
      </c>
      <c r="AN17" s="18">
        <v>0</v>
      </c>
      <c r="AO17" s="18"/>
      <c r="AP17" s="18"/>
      <c r="AQ17" s="14">
        <f>SUM(AM17:AP17)</f>
        <v>0</v>
      </c>
      <c r="AS17" s="18">
        <v>0</v>
      </c>
      <c r="AT17" s="18" t="s">
        <v>78</v>
      </c>
      <c r="AU17" s="18"/>
      <c r="AV17" s="18"/>
      <c r="AW17" s="14">
        <f>SUM(AS17:AV17)</f>
        <v>0</v>
      </c>
      <c r="AY17" s="18">
        <v>0</v>
      </c>
      <c r="AZ17" s="18"/>
      <c r="BA17" s="18"/>
      <c r="BB17" s="18"/>
      <c r="BC17" s="14">
        <f>SUM(AY17:BB17)</f>
        <v>0</v>
      </c>
      <c r="BE17" s="18">
        <v>0</v>
      </c>
      <c r="BF17" s="18"/>
      <c r="BG17" s="18"/>
      <c r="BH17" s="18"/>
      <c r="BI17" s="14">
        <f>SUM(BE17:BH17)</f>
        <v>0</v>
      </c>
      <c r="BK17" s="13">
        <v>0</v>
      </c>
      <c r="BL17" s="13">
        <v>0</v>
      </c>
      <c r="BM17" s="13">
        <v>0</v>
      </c>
      <c r="BN17" s="13">
        <v>0</v>
      </c>
      <c r="BO17" s="59">
        <f>SUM(BK17:BN17)</f>
        <v>0</v>
      </c>
      <c r="BP17" s="4"/>
      <c r="BQ17" s="13">
        <v>0</v>
      </c>
      <c r="BR17" s="13">
        <v>0</v>
      </c>
      <c r="BS17" s="13">
        <v>0</v>
      </c>
      <c r="BT17" s="13">
        <v>0</v>
      </c>
      <c r="BU17" s="59">
        <f>SUM(BQ17:BT17)</f>
        <v>0</v>
      </c>
      <c r="BV17" s="4"/>
      <c r="BW17" s="13">
        <v>0</v>
      </c>
      <c r="BX17" s="13">
        <v>1404</v>
      </c>
      <c r="BY17" s="13">
        <v>0</v>
      </c>
      <c r="BZ17" s="13">
        <v>6</v>
      </c>
      <c r="CA17" s="59">
        <f>SUM(BW17:BZ17)</f>
        <v>1410</v>
      </c>
      <c r="CC17" s="13"/>
      <c r="CD17" s="13"/>
      <c r="CE17" s="13"/>
      <c r="CF17" s="13"/>
      <c r="CG17" s="59">
        <f>SUM(CC17:CF17)</f>
        <v>0</v>
      </c>
      <c r="CI17" s="13"/>
      <c r="CJ17" s="13"/>
      <c r="CK17" s="13"/>
      <c r="CL17" s="13"/>
      <c r="CM17" s="59">
        <f>SUM(CI17:CL17)</f>
        <v>0</v>
      </c>
    </row>
    <row r="18" spans="1:91">
      <c r="A18" s="4" t="s">
        <v>6</v>
      </c>
      <c r="C18" s="19">
        <v>-4</v>
      </c>
      <c r="D18" s="19">
        <v>-9</v>
      </c>
      <c r="E18" s="19">
        <v>-1</v>
      </c>
      <c r="F18" s="19">
        <v>-6</v>
      </c>
      <c r="G18" s="20">
        <f>SUM(C18:F18)</f>
        <v>-20</v>
      </c>
      <c r="H18" s="15"/>
      <c r="I18" s="19">
        <v>-4</v>
      </c>
      <c r="J18" s="19">
        <v>-7</v>
      </c>
      <c r="K18" s="19">
        <v>-4</v>
      </c>
      <c r="L18" s="19">
        <v>99</v>
      </c>
      <c r="M18" s="20">
        <f>SUM(I18:L18)</f>
        <v>84</v>
      </c>
      <c r="O18" s="19">
        <v>-6</v>
      </c>
      <c r="P18" s="19">
        <v>-8</v>
      </c>
      <c r="Q18" s="19">
        <v>-2</v>
      </c>
      <c r="R18" s="19">
        <v>-15</v>
      </c>
      <c r="S18" s="20">
        <f>SUM(O18:R18)</f>
        <v>-31</v>
      </c>
      <c r="U18" s="19">
        <v>-7</v>
      </c>
      <c r="V18" s="19">
        <v>-10</v>
      </c>
      <c r="W18" s="19">
        <v>-4</v>
      </c>
      <c r="X18" s="19">
        <v>27</v>
      </c>
      <c r="Y18" s="20">
        <f>SUM(U18:X18)</f>
        <v>6</v>
      </c>
      <c r="AA18" s="19">
        <v>-6</v>
      </c>
      <c r="AB18" s="19">
        <v>44</v>
      </c>
      <c r="AC18" s="19">
        <v>-4</v>
      </c>
      <c r="AD18" s="19">
        <v>27</v>
      </c>
      <c r="AE18" s="20">
        <f>SUM(AA18:AD18)</f>
        <v>61</v>
      </c>
      <c r="AG18" s="19">
        <v>-7</v>
      </c>
      <c r="AH18" s="19">
        <v>-21</v>
      </c>
      <c r="AI18" s="19">
        <v>-21</v>
      </c>
      <c r="AJ18" s="19">
        <v>-54</v>
      </c>
      <c r="AK18" s="20">
        <f>SUM(AG18:AJ18)</f>
        <v>-103</v>
      </c>
      <c r="AM18" s="19">
        <v>-25</v>
      </c>
      <c r="AN18" s="19">
        <v>-84</v>
      </c>
      <c r="AO18" s="19">
        <v>-47</v>
      </c>
      <c r="AP18" s="19">
        <v>-10</v>
      </c>
      <c r="AQ18" s="20">
        <f>SUM(AM18:AP18)</f>
        <v>-166</v>
      </c>
      <c r="AS18" s="19">
        <v>-40</v>
      </c>
      <c r="AT18" s="19">
        <v>-84</v>
      </c>
      <c r="AU18" s="19">
        <v>-48</v>
      </c>
      <c r="AV18" s="19">
        <v>4</v>
      </c>
      <c r="AW18" s="20">
        <f>SUM(AS18:AV18)</f>
        <v>-168</v>
      </c>
      <c r="AY18" s="19">
        <v>-46</v>
      </c>
      <c r="AZ18" s="19">
        <v>-77</v>
      </c>
      <c r="BA18" s="19">
        <v>-48</v>
      </c>
      <c r="BB18" s="19">
        <v>-17</v>
      </c>
      <c r="BC18" s="20">
        <f>SUM(AY18:BB18)</f>
        <v>-188</v>
      </c>
      <c r="BE18" s="19">
        <v>-1</v>
      </c>
      <c r="BF18" s="19">
        <v>-26</v>
      </c>
      <c r="BG18" s="19">
        <v>-36</v>
      </c>
      <c r="BH18" s="19">
        <v>10</v>
      </c>
      <c r="BI18" s="20">
        <f>SUM(BE18:BH18)</f>
        <v>-53</v>
      </c>
      <c r="BK18" s="19">
        <v>-28</v>
      </c>
      <c r="BL18" s="19">
        <v>-41</v>
      </c>
      <c r="BM18" s="19">
        <v>-25</v>
      </c>
      <c r="BN18" s="19">
        <v>19</v>
      </c>
      <c r="BO18" s="20">
        <f>SUM(BK18:BN18)</f>
        <v>-75</v>
      </c>
      <c r="BQ18" s="19">
        <v>-3</v>
      </c>
      <c r="BR18" s="19">
        <v>-5</v>
      </c>
      <c r="BS18" s="19">
        <v>-36</v>
      </c>
      <c r="BT18" s="19">
        <v>6</v>
      </c>
      <c r="BU18" s="20">
        <f>SUM(BQ18:BT18)</f>
        <v>-38</v>
      </c>
      <c r="BW18" s="19">
        <v>-13</v>
      </c>
      <c r="BX18" s="19">
        <v>-12</v>
      </c>
      <c r="BY18" s="19">
        <v>-21</v>
      </c>
      <c r="BZ18" s="19">
        <v>-35</v>
      </c>
      <c r="CA18" s="20">
        <f>SUM(BW18:BZ18)</f>
        <v>-81</v>
      </c>
      <c r="CC18" s="19">
        <v>-15</v>
      </c>
      <c r="CD18" s="19">
        <v>-33</v>
      </c>
      <c r="CE18" s="19">
        <v>-16</v>
      </c>
      <c r="CF18" s="19">
        <v>-31</v>
      </c>
      <c r="CG18" s="20">
        <f>SUM(CC18:CF18)</f>
        <v>-95</v>
      </c>
      <c r="CI18" s="19">
        <v>-49</v>
      </c>
      <c r="CJ18" s="19">
        <v>-12</v>
      </c>
      <c r="CK18" s="19">
        <v>-16</v>
      </c>
      <c r="CL18" s="19">
        <v>-49</v>
      </c>
      <c r="CM18" s="20">
        <f>SUM(CI18:CL18)</f>
        <v>-126</v>
      </c>
    </row>
    <row r="19" spans="1:91" s="11" customFormat="1" ht="18.75" customHeight="1" thickBot="1">
      <c r="A19" s="11" t="s">
        <v>7</v>
      </c>
      <c r="B19" s="6"/>
      <c r="C19" s="18">
        <f>SUM(C16:C18)</f>
        <v>-9</v>
      </c>
      <c r="D19" s="18">
        <f>SUM(D16:D18)</f>
        <v>73</v>
      </c>
      <c r="E19" s="18">
        <f>SUM(E16:E18)</f>
        <v>-56</v>
      </c>
      <c r="F19" s="18">
        <f>SUM(F16:F18)</f>
        <v>-73</v>
      </c>
      <c r="G19" s="14">
        <f>SUM(G16:G18)</f>
        <v>-65</v>
      </c>
      <c r="H19" s="15"/>
      <c r="I19" s="18">
        <f>SUM(I16:I18)</f>
        <v>-41</v>
      </c>
      <c r="J19" s="18">
        <f>SUM(J16:J18)</f>
        <v>-33</v>
      </c>
      <c r="K19" s="18">
        <f>SUM(K16:K18)</f>
        <v>-10</v>
      </c>
      <c r="L19" s="18">
        <f>SUM(L16:L18)</f>
        <v>-772</v>
      </c>
      <c r="M19" s="14">
        <f>SUM(M16:M18)</f>
        <v>-856</v>
      </c>
      <c r="O19" s="18">
        <f>SUM(O16:O18)</f>
        <v>-8</v>
      </c>
      <c r="P19" s="18">
        <f>SUM(P16:P18)</f>
        <v>23</v>
      </c>
      <c r="Q19" s="18">
        <f>SUM(Q16:Q18)</f>
        <v>39</v>
      </c>
      <c r="R19" s="18">
        <f>SUM(R16:R18)</f>
        <v>23</v>
      </c>
      <c r="S19" s="14">
        <f>SUM(S16:S18)</f>
        <v>77</v>
      </c>
      <c r="U19" s="18">
        <f>SUM(U16:U18)</f>
        <v>-4</v>
      </c>
      <c r="V19" s="18">
        <f>SUM(V16:V18)</f>
        <v>44</v>
      </c>
      <c r="W19" s="18">
        <f>SUM(W16:W18)</f>
        <v>105</v>
      </c>
      <c r="X19" s="18">
        <f>SUM(X16:X18)</f>
        <v>98</v>
      </c>
      <c r="Y19" s="14">
        <f>SUM(Y16:Y18)</f>
        <v>243</v>
      </c>
      <c r="AA19" s="33">
        <f>SUM(AA16:AA18)</f>
        <v>17</v>
      </c>
      <c r="AB19" s="33">
        <f>SUM(AB16:AB18)</f>
        <v>-59</v>
      </c>
      <c r="AC19" s="33">
        <f>SUM(AC16:AC18)</f>
        <v>134</v>
      </c>
      <c r="AD19" s="33">
        <f>SUM(AD16:AD18)</f>
        <v>106</v>
      </c>
      <c r="AE19" s="34">
        <f>SUM(AE16:AE18)</f>
        <v>198</v>
      </c>
      <c r="AG19" s="33">
        <f>SUM(AG16:AG18)</f>
        <v>53</v>
      </c>
      <c r="AH19" s="33">
        <f>SUM(AH16:AH18)</f>
        <v>105</v>
      </c>
      <c r="AI19" s="33">
        <f>SUM(AI16:AI18)</f>
        <v>117</v>
      </c>
      <c r="AJ19" s="33">
        <f>SUM(AJ16:AJ18)</f>
        <v>86</v>
      </c>
      <c r="AK19" s="34">
        <f>SUM(AK16:AK18)</f>
        <v>361</v>
      </c>
      <c r="AM19" s="33">
        <f>SUM(AM16:AM18)</f>
        <v>85</v>
      </c>
      <c r="AN19" s="33">
        <f>SUM(AN16:AN18)</f>
        <v>228</v>
      </c>
      <c r="AO19" s="33">
        <f>SUM(AO16:AO18)</f>
        <v>146</v>
      </c>
      <c r="AP19" s="33">
        <f>SUM(AP16:AP18)</f>
        <v>144</v>
      </c>
      <c r="AQ19" s="34">
        <f>SUM(AQ16:AQ18)</f>
        <v>603</v>
      </c>
      <c r="AS19" s="33">
        <f>SUM(AS16:AS18)</f>
        <v>120</v>
      </c>
      <c r="AT19" s="33">
        <f>SUM(AT16:AT18)</f>
        <v>224</v>
      </c>
      <c r="AU19" s="33">
        <f>SUM(AU16:AU18)</f>
        <v>167</v>
      </c>
      <c r="AV19" s="33">
        <f>SUM(AV16:AV18)</f>
        <v>309</v>
      </c>
      <c r="AW19" s="34">
        <f>SUM(AW16:AW18)</f>
        <v>820</v>
      </c>
      <c r="AY19" s="33">
        <f>SUM(AY16:AY18)</f>
        <v>138</v>
      </c>
      <c r="AZ19" s="33">
        <f>SUM(AZ16:AZ18)</f>
        <v>232</v>
      </c>
      <c r="BA19" s="33">
        <f>SUM(BA16:BA18)</f>
        <v>139</v>
      </c>
      <c r="BB19" s="33">
        <f>SUM(BB16:BB18)</f>
        <v>-105</v>
      </c>
      <c r="BC19" s="34">
        <f>SUM(BC16:BC18)</f>
        <v>404</v>
      </c>
      <c r="BE19" s="40">
        <f>SUM(BE16:BE18)</f>
        <v>0</v>
      </c>
      <c r="BF19" s="33">
        <f>SUM(BF16:BF18)</f>
        <v>94</v>
      </c>
      <c r="BG19" s="33">
        <f>SUM(BG16:BG18)</f>
        <v>71</v>
      </c>
      <c r="BH19" s="33">
        <f>SUM(BH16:BH18)</f>
        <v>73</v>
      </c>
      <c r="BI19" s="34">
        <f>SUM(BI16:BI18)</f>
        <v>238</v>
      </c>
      <c r="BK19" s="40">
        <f>SUM(BK16:BK18)</f>
        <v>65</v>
      </c>
      <c r="BL19" s="33">
        <f>SUM(BL16:BL18)</f>
        <v>97</v>
      </c>
      <c r="BM19" s="33">
        <f>SUM(BM16:BM18)</f>
        <v>80</v>
      </c>
      <c r="BN19" s="33">
        <f>SUM(BN16:BN18)</f>
        <v>28</v>
      </c>
      <c r="BO19" s="34">
        <f>SUM(BO16:BO18)</f>
        <v>270</v>
      </c>
      <c r="BQ19" s="40">
        <f>SUM(BQ16:BQ18)</f>
        <v>51</v>
      </c>
      <c r="BR19" s="33">
        <f>SUM(BR16:BR18)</f>
        <v>30</v>
      </c>
      <c r="BS19" s="33">
        <f>SUM(BS16:BS18)</f>
        <v>43</v>
      </c>
      <c r="BT19" s="33">
        <f>SUM(BT16:BT18)</f>
        <v>3</v>
      </c>
      <c r="BU19" s="34">
        <f>SUM(BU16:BU18)</f>
        <v>127</v>
      </c>
      <c r="BW19" s="40">
        <f>SUM(BW16:BW18)</f>
        <v>31</v>
      </c>
      <c r="BX19" s="33">
        <f>SUM(BX16:BX18)</f>
        <v>1439</v>
      </c>
      <c r="BY19" s="33">
        <f>SUM(BY16:BY18)</f>
        <v>37</v>
      </c>
      <c r="BZ19" s="33">
        <f>SUM(BZ16:BZ18)</f>
        <v>99</v>
      </c>
      <c r="CA19" s="34">
        <f>SUM(CA16:CA18)</f>
        <v>1606</v>
      </c>
      <c r="CC19" s="40">
        <f>SUM(CC16:CC18)</f>
        <v>25</v>
      </c>
      <c r="CD19" s="40">
        <f>SUM(CD16:CD18)</f>
        <v>76</v>
      </c>
      <c r="CE19" s="40">
        <f>SUM(CE16:CE18)</f>
        <v>53</v>
      </c>
      <c r="CF19" s="40">
        <f>SUM(CF16:CF18)</f>
        <v>99</v>
      </c>
      <c r="CG19" s="34">
        <f>SUM(CG16:CG18)</f>
        <v>253</v>
      </c>
      <c r="CI19" s="40">
        <f>SUM(CI16:CI18)</f>
        <v>87</v>
      </c>
      <c r="CJ19" s="40">
        <f>SUM(CJ16:CJ18)</f>
        <v>47</v>
      </c>
      <c r="CK19" s="40">
        <f>SUM(CK16:CK18)</f>
        <v>60</v>
      </c>
      <c r="CL19" s="40">
        <f>SUM(CL16:CL18)</f>
        <v>86</v>
      </c>
      <c r="CM19" s="34">
        <f>SUM(CM16:CM18)</f>
        <v>280</v>
      </c>
    </row>
    <row r="20" spans="1:91" ht="13.5" thickTop="1">
      <c r="A20" s="4" t="s">
        <v>8</v>
      </c>
      <c r="C20" s="13">
        <v>8</v>
      </c>
      <c r="D20" s="13">
        <v>3</v>
      </c>
      <c r="E20" s="13">
        <v>10</v>
      </c>
      <c r="F20" s="13">
        <v>11</v>
      </c>
      <c r="G20" s="14">
        <f>SUM(C20:F20)</f>
        <v>32</v>
      </c>
      <c r="H20" s="15"/>
      <c r="I20" s="13">
        <v>9</v>
      </c>
      <c r="J20" s="13">
        <v>10</v>
      </c>
      <c r="K20" s="13">
        <v>10</v>
      </c>
      <c r="L20" s="13">
        <v>131</v>
      </c>
      <c r="M20" s="14">
        <f>SUM(I20:L20)</f>
        <v>160</v>
      </c>
      <c r="O20" s="13">
        <v>6</v>
      </c>
      <c r="P20" s="13">
        <v>0</v>
      </c>
      <c r="Q20" s="13">
        <v>-6</v>
      </c>
      <c r="R20" s="13">
        <v>8</v>
      </c>
      <c r="S20" s="14">
        <f>SUM(O20:R20)</f>
        <v>8</v>
      </c>
      <c r="U20" s="13">
        <v>7</v>
      </c>
      <c r="V20" s="13">
        <v>1</v>
      </c>
      <c r="W20" s="13">
        <v>3</v>
      </c>
      <c r="X20" s="13">
        <v>8</v>
      </c>
      <c r="Y20" s="14">
        <f>SUM(U20:X20)</f>
        <v>19</v>
      </c>
      <c r="AA20" s="47">
        <v>-1</v>
      </c>
      <c r="AB20" s="47">
        <v>-3</v>
      </c>
      <c r="AC20" s="47">
        <v>-4</v>
      </c>
      <c r="AD20" s="47">
        <v>-4</v>
      </c>
      <c r="AE20" s="52">
        <f>SUM(AA20:AD20)</f>
        <v>-12</v>
      </c>
      <c r="AG20" s="47">
        <v>-1</v>
      </c>
      <c r="AH20" s="47">
        <v>-2</v>
      </c>
      <c r="AI20" s="47">
        <v>-2</v>
      </c>
      <c r="AJ20" s="47">
        <v>1</v>
      </c>
      <c r="AK20" s="52">
        <f>SUM(AG20:AJ20)</f>
        <v>-4</v>
      </c>
      <c r="AM20" s="47">
        <v>0</v>
      </c>
      <c r="AN20" s="47">
        <v>-8</v>
      </c>
      <c r="AO20" s="47">
        <v>-8</v>
      </c>
      <c r="AP20" s="47">
        <v>-5</v>
      </c>
      <c r="AQ20" s="52">
        <f>SUM(AM20:AP20)</f>
        <v>-21</v>
      </c>
      <c r="AS20" s="47">
        <v>-1</v>
      </c>
      <c r="AT20" s="47">
        <v>-4</v>
      </c>
      <c r="AU20" s="47">
        <v>-4</v>
      </c>
      <c r="AV20" s="47">
        <v>-6</v>
      </c>
      <c r="AW20" s="52">
        <f>SUM(AS20:AV20)</f>
        <v>-15</v>
      </c>
      <c r="AY20" s="47">
        <v>-2</v>
      </c>
      <c r="AZ20" s="47">
        <v>-1</v>
      </c>
      <c r="BA20" s="47">
        <v>-5</v>
      </c>
      <c r="BB20" s="47">
        <v>5</v>
      </c>
      <c r="BC20" s="52">
        <f>SUM(AY20:BB20)</f>
        <v>-3</v>
      </c>
      <c r="BE20" s="47">
        <v>2</v>
      </c>
      <c r="BF20" s="47">
        <v>0</v>
      </c>
      <c r="BG20" s="47">
        <v>-1</v>
      </c>
      <c r="BH20" s="47">
        <v>2</v>
      </c>
      <c r="BI20" s="52">
        <f>SUM(BE20:BH20)</f>
        <v>3</v>
      </c>
      <c r="BK20" s="47">
        <v>0</v>
      </c>
      <c r="BL20" s="47">
        <v>-2</v>
      </c>
      <c r="BM20" s="47">
        <v>-1</v>
      </c>
      <c r="BN20" s="47">
        <v>-1</v>
      </c>
      <c r="BO20" s="52">
        <f>SUM(BK20:BN20)</f>
        <v>-4</v>
      </c>
      <c r="BQ20" s="47">
        <v>0</v>
      </c>
      <c r="BR20" s="47">
        <v>0</v>
      </c>
      <c r="BS20" s="47">
        <v>-1</v>
      </c>
      <c r="BT20" s="47">
        <v>-1</v>
      </c>
      <c r="BU20" s="52">
        <f>SUM(BQ20:BT20)</f>
        <v>-2</v>
      </c>
      <c r="BW20" s="47">
        <v>-1</v>
      </c>
      <c r="BX20" s="47">
        <v>1</v>
      </c>
      <c r="BY20" s="47">
        <v>-1</v>
      </c>
      <c r="BZ20" s="47">
        <v>-1</v>
      </c>
      <c r="CA20" s="52">
        <f>SUM(BW20:BZ20)</f>
        <v>-2</v>
      </c>
      <c r="CC20" s="47">
        <v>0</v>
      </c>
      <c r="CD20" s="47">
        <v>-1</v>
      </c>
      <c r="CE20" s="47">
        <v>0</v>
      </c>
      <c r="CF20" s="47">
        <v>0</v>
      </c>
      <c r="CG20" s="52">
        <f>SUM(CC20:CF20)</f>
        <v>-1</v>
      </c>
      <c r="CI20" s="47">
        <v>0</v>
      </c>
      <c r="CJ20" s="47">
        <v>-1</v>
      </c>
      <c r="CK20" s="47">
        <v>0</v>
      </c>
      <c r="CL20" s="47">
        <v>1</v>
      </c>
      <c r="CM20" s="52">
        <f>SUM(CI20:CL20)</f>
        <v>0</v>
      </c>
    </row>
    <row r="21" spans="1:91" s="11" customFormat="1" ht="18.75" customHeight="1" thickBot="1">
      <c r="A21" s="11" t="s">
        <v>9</v>
      </c>
      <c r="B21" s="6"/>
      <c r="C21" s="33">
        <f>SUM(C19:C20)</f>
        <v>-1</v>
      </c>
      <c r="D21" s="33">
        <f>SUM(D19:D20)</f>
        <v>76</v>
      </c>
      <c r="E21" s="33">
        <f>SUM(E19:E20)</f>
        <v>-46</v>
      </c>
      <c r="F21" s="33">
        <f>SUM(F19:F20)</f>
        <v>-62</v>
      </c>
      <c r="G21" s="34">
        <f>SUM(G19:G20)</f>
        <v>-33</v>
      </c>
      <c r="H21" s="15"/>
      <c r="I21" s="33">
        <f>SUM(I19:I20)</f>
        <v>-32</v>
      </c>
      <c r="J21" s="33">
        <f>SUM(J19:J20)</f>
        <v>-23</v>
      </c>
      <c r="K21" s="33">
        <f>SUM(K19:K20)</f>
        <v>0</v>
      </c>
      <c r="L21" s="33">
        <f>SUM(L19:L20)</f>
        <v>-641</v>
      </c>
      <c r="M21" s="34">
        <f>SUM(M19:M20)</f>
        <v>-696</v>
      </c>
      <c r="O21" s="33">
        <f>SUM(O19:O20)</f>
        <v>-2</v>
      </c>
      <c r="P21" s="33">
        <f>SUM(P19:P20)</f>
        <v>23</v>
      </c>
      <c r="Q21" s="33">
        <f>SUM(Q19:Q20)</f>
        <v>33</v>
      </c>
      <c r="R21" s="33">
        <f>SUM(R19:R20)</f>
        <v>31</v>
      </c>
      <c r="S21" s="34">
        <f>SUM(S19:S20)</f>
        <v>85</v>
      </c>
      <c r="U21" s="33">
        <f>SUM(U19:U20)</f>
        <v>3</v>
      </c>
      <c r="V21" s="33">
        <f>SUM(V19:V20)</f>
        <v>45</v>
      </c>
      <c r="W21" s="33">
        <f>SUM(W19:W20)</f>
        <v>108</v>
      </c>
      <c r="X21" s="33">
        <f>SUM(X19:X20)</f>
        <v>106</v>
      </c>
      <c r="Y21" s="34">
        <f>SUM(Y19:Y20)</f>
        <v>262</v>
      </c>
      <c r="AA21" s="47">
        <f>SUM(AA19:AA20)</f>
        <v>16</v>
      </c>
      <c r="AB21" s="47">
        <f>SUM(AB19:AB20)</f>
        <v>-62</v>
      </c>
      <c r="AC21" s="47">
        <f>SUM(AC19:AC20)</f>
        <v>130</v>
      </c>
      <c r="AD21" s="47">
        <f>SUM(AD19:AD20)</f>
        <v>102</v>
      </c>
      <c r="AE21" s="52">
        <f>SUM(AE19:AE20)</f>
        <v>186</v>
      </c>
      <c r="AG21" s="47">
        <f>SUM(AG19:AG20)</f>
        <v>52</v>
      </c>
      <c r="AH21" s="47">
        <f>SUM(AH19:AH20)</f>
        <v>103</v>
      </c>
      <c r="AI21" s="47">
        <f>SUM(AI19:AI20)</f>
        <v>115</v>
      </c>
      <c r="AJ21" s="47">
        <f>SUM(AJ19:AJ20)</f>
        <v>87</v>
      </c>
      <c r="AK21" s="52">
        <f>SUM(AK19:AK20)</f>
        <v>357</v>
      </c>
      <c r="AM21" s="47">
        <f>SUM(AM19:AM20)</f>
        <v>85</v>
      </c>
      <c r="AN21" s="47">
        <f>SUM(AN19:AN20)</f>
        <v>220</v>
      </c>
      <c r="AO21" s="47">
        <f>SUM(AO19:AO20)</f>
        <v>138</v>
      </c>
      <c r="AP21" s="47">
        <f>SUM(AP19:AP20)</f>
        <v>139</v>
      </c>
      <c r="AQ21" s="52">
        <f>SUM(AQ19:AQ20)</f>
        <v>582</v>
      </c>
      <c r="AS21" s="47">
        <f>SUM(AS19:AS20)</f>
        <v>119</v>
      </c>
      <c r="AT21" s="47">
        <f>SUM(AT19:AT20)</f>
        <v>220</v>
      </c>
      <c r="AU21" s="47">
        <f>SUM(AU19:AU20)</f>
        <v>163</v>
      </c>
      <c r="AV21" s="47">
        <f>SUM(AV19:AV20)</f>
        <v>303</v>
      </c>
      <c r="AW21" s="52">
        <f>SUM(AW19:AW20)</f>
        <v>805</v>
      </c>
      <c r="AY21" s="47">
        <f>SUM(AY19:AY20)</f>
        <v>136</v>
      </c>
      <c r="AZ21" s="47">
        <f>SUM(AZ19:AZ20)</f>
        <v>231</v>
      </c>
      <c r="BA21" s="47">
        <f>SUM(BA19:BA20)</f>
        <v>134</v>
      </c>
      <c r="BB21" s="47">
        <f>SUM(BB19:BB20)</f>
        <v>-100</v>
      </c>
      <c r="BC21" s="52">
        <f>SUM(BC19:BC20)</f>
        <v>401</v>
      </c>
      <c r="BE21" s="47">
        <f>SUM(BE19:BE20)</f>
        <v>2</v>
      </c>
      <c r="BF21" s="47">
        <f>SUM(BF19:BF20)</f>
        <v>94</v>
      </c>
      <c r="BG21" s="47">
        <f>SUM(BG19:BG20)</f>
        <v>70</v>
      </c>
      <c r="BH21" s="47">
        <f>SUM(BH19:BH20)</f>
        <v>75</v>
      </c>
      <c r="BI21" s="52">
        <f>SUM(BI19:BI20)</f>
        <v>241</v>
      </c>
      <c r="BK21" s="47">
        <f>SUM(BK19:BK20)</f>
        <v>65</v>
      </c>
      <c r="BL21" s="47">
        <f>SUM(BL19:BL20)</f>
        <v>95</v>
      </c>
      <c r="BM21" s="47">
        <f>SUM(BM19:BM20)</f>
        <v>79</v>
      </c>
      <c r="BN21" s="47">
        <f>SUM(BN19:BN20)</f>
        <v>27</v>
      </c>
      <c r="BO21" s="52">
        <f>SUM(BO19:BO20)</f>
        <v>266</v>
      </c>
      <c r="BQ21" s="47">
        <f>SUM(BQ19:BQ20)</f>
        <v>51</v>
      </c>
      <c r="BR21" s="47">
        <f>SUM(BR19:BR20)</f>
        <v>30</v>
      </c>
      <c r="BS21" s="47">
        <f>SUM(BS19:BS20)</f>
        <v>42</v>
      </c>
      <c r="BT21" s="47">
        <v>-1</v>
      </c>
      <c r="BU21" s="52">
        <f>SUM(BU19:BU20)</f>
        <v>125</v>
      </c>
      <c r="BW21" s="47">
        <f>SUM(BW19:BW20)</f>
        <v>30</v>
      </c>
      <c r="BX21" s="47">
        <f>SUM(BX19:BX20)</f>
        <v>1440</v>
      </c>
      <c r="BY21" s="47">
        <f>SUM(BY19:BY20)</f>
        <v>36</v>
      </c>
      <c r="BZ21" s="47">
        <f>SUM(BZ19:BZ20)</f>
        <v>98</v>
      </c>
      <c r="CA21" s="52">
        <f>SUM(CA19:CA20)</f>
        <v>1604</v>
      </c>
      <c r="CC21" s="47">
        <f>SUM(CC19:CC20)</f>
        <v>25</v>
      </c>
      <c r="CD21" s="47">
        <f>SUM(CD19:CD20)</f>
        <v>75</v>
      </c>
      <c r="CE21" s="47">
        <f>SUM(CE19:CE20)</f>
        <v>53</v>
      </c>
      <c r="CF21" s="47">
        <f>SUM(CF19:CF20)</f>
        <v>99</v>
      </c>
      <c r="CG21" s="52">
        <f>SUM(CG19:CG20)</f>
        <v>252</v>
      </c>
      <c r="CI21" s="47">
        <f>SUM(CI19:CI20)</f>
        <v>87</v>
      </c>
      <c r="CJ21" s="47">
        <f>SUM(CJ19:CJ20)</f>
        <v>46</v>
      </c>
      <c r="CK21" s="47">
        <f>SUM(CK19:CK20)</f>
        <v>60</v>
      </c>
      <c r="CL21" s="47">
        <f>SUM(CL19:CL20)</f>
        <v>87</v>
      </c>
      <c r="CM21" s="52">
        <f>SUM(CM19:CM20)</f>
        <v>280</v>
      </c>
    </row>
    <row r="22" spans="1:91" ht="13.5" thickTop="1">
      <c r="AW22" s="11"/>
      <c r="BC22" s="11"/>
      <c r="BI22" s="11"/>
      <c r="BM22" s="13"/>
      <c r="BO22" s="11"/>
      <c r="BS22" s="13"/>
      <c r="BU22" s="11"/>
      <c r="BY22" s="13"/>
      <c r="CA22" s="11"/>
      <c r="CE22" s="13"/>
      <c r="CG22" s="11"/>
      <c r="CK22" s="13"/>
      <c r="CM22" s="11"/>
    </row>
    <row r="23" spans="1:91">
      <c r="AW23" s="11"/>
      <c r="BC23" s="11"/>
      <c r="BI23" s="11"/>
      <c r="BO23" s="11"/>
      <c r="BU23" s="11"/>
      <c r="CA23" s="11"/>
      <c r="CG23" s="11"/>
      <c r="CM23" s="11"/>
    </row>
    <row r="24" spans="1:91">
      <c r="A24" s="11" t="s">
        <v>107</v>
      </c>
      <c r="C24" s="13" t="s">
        <v>78</v>
      </c>
      <c r="D24" s="13" t="s">
        <v>78</v>
      </c>
      <c r="E24" s="13" t="s">
        <v>78</v>
      </c>
      <c r="F24" s="13" t="s">
        <v>78</v>
      </c>
      <c r="G24" s="13" t="s">
        <v>78</v>
      </c>
      <c r="H24" s="3" t="s">
        <v>78</v>
      </c>
      <c r="I24" s="13" t="s">
        <v>78</v>
      </c>
      <c r="J24" s="13" t="s">
        <v>78</v>
      </c>
      <c r="K24" s="13" t="s">
        <v>78</v>
      </c>
      <c r="L24" s="13" t="s">
        <v>78</v>
      </c>
      <c r="M24" s="13" t="s">
        <v>78</v>
      </c>
      <c r="O24" s="13">
        <f>+'Segment Data'!O17</f>
        <v>1339</v>
      </c>
      <c r="P24" s="13">
        <f>+'Segment Data'!P17</f>
        <v>1476</v>
      </c>
      <c r="Q24" s="13">
        <f>+'Segment Data'!Q17</f>
        <v>1535</v>
      </c>
      <c r="R24" s="13">
        <f>+'Segment Data'!R17</f>
        <v>1490</v>
      </c>
      <c r="S24" s="13">
        <f>+'Segment Data'!S17</f>
        <v>5840</v>
      </c>
      <c r="T24" s="4" t="s">
        <v>78</v>
      </c>
      <c r="U24" s="13" t="s">
        <v>78</v>
      </c>
      <c r="V24" s="13" t="s">
        <v>79</v>
      </c>
      <c r="W24" s="13" t="s">
        <v>78</v>
      </c>
      <c r="X24" s="13" t="s">
        <v>78</v>
      </c>
      <c r="Y24" s="13" t="s">
        <v>78</v>
      </c>
      <c r="AA24" s="13">
        <f>+'Segment Data'!AA17</f>
        <v>1353</v>
      </c>
      <c r="AB24" s="13">
        <f>+'Segment Data'!AB17</f>
        <v>1861</v>
      </c>
      <c r="AC24" s="13">
        <f>+'Segment Data'!AC17</f>
        <v>1993</v>
      </c>
      <c r="AD24" s="13">
        <f>+'Segment Data'!AD17</f>
        <v>1989</v>
      </c>
      <c r="AE24" s="13">
        <f>+'Segment Data'!AE17</f>
        <v>7196</v>
      </c>
      <c r="AG24" s="13">
        <f>+'Segment Data'!AG17</f>
        <v>1789</v>
      </c>
      <c r="AH24" s="13">
        <f>+'Segment Data'!AH17</f>
        <v>2164</v>
      </c>
      <c r="AI24" s="13">
        <f>+'Segment Data'!AI17</f>
        <v>2077</v>
      </c>
      <c r="AJ24" s="13">
        <f>+'Segment Data'!AJ17</f>
        <v>2150</v>
      </c>
      <c r="AK24" s="59">
        <f>+'Segment Data'!AK17</f>
        <v>8180</v>
      </c>
      <c r="AM24" s="13">
        <f>+'Segment Data'!AM17</f>
        <v>2149</v>
      </c>
      <c r="AN24" s="13">
        <f>+'Segment Data'!AN17</f>
        <v>2358</v>
      </c>
      <c r="AO24" s="13">
        <f>+'Segment Data'!AO17</f>
        <v>2178</v>
      </c>
      <c r="AP24" s="13">
        <f>+'Segment Data'!AP17</f>
        <v>2315</v>
      </c>
      <c r="AQ24" s="59">
        <f>+'Segment Data'!AQ17</f>
        <v>9000</v>
      </c>
      <c r="AS24" s="13">
        <f>+'Segment Data'!AS17</f>
        <v>2539</v>
      </c>
      <c r="AT24" s="13">
        <f>+'Segment Data'!AT17</f>
        <v>2869</v>
      </c>
      <c r="AU24" s="57">
        <f>+'Segment Data'!AU17</f>
        <v>2619</v>
      </c>
      <c r="AV24" s="57">
        <f>+'Segment Data'!AV17</f>
        <v>2771</v>
      </c>
      <c r="AW24" s="59">
        <f>+'Segment Data'!AW17</f>
        <v>10798</v>
      </c>
      <c r="AY24" s="13">
        <f>+'Segment Data'!AY17</f>
        <v>2699</v>
      </c>
      <c r="AZ24" s="13">
        <f>+'Segment Data'!AZ17</f>
        <v>3081</v>
      </c>
      <c r="BA24" s="13">
        <f>+'Segment Data'!BA17</f>
        <v>2814</v>
      </c>
      <c r="BB24" s="13">
        <f>+'Segment Data'!BB17</f>
        <v>2679</v>
      </c>
      <c r="BC24" s="13">
        <f>+'Segment Data'!BC17</f>
        <v>11273</v>
      </c>
      <c r="BE24" s="13">
        <f>+'Segment Data'!BE17</f>
        <v>2343</v>
      </c>
      <c r="BF24" s="13">
        <f>+'Segment Data'!BF17</f>
        <v>2691</v>
      </c>
      <c r="BG24" s="13">
        <f>+'Segment Data'!BG17</f>
        <v>2463</v>
      </c>
      <c r="BH24" s="13">
        <f>+'Segment Data'!BH17</f>
        <v>2453</v>
      </c>
      <c r="BI24" s="59">
        <f>+'Segment Data'!BI17</f>
        <v>9950</v>
      </c>
      <c r="BK24" s="13">
        <f>+'Segment Data'!BK17</f>
        <v>2494</v>
      </c>
      <c r="BL24" s="13">
        <f>+'Segment Data'!BL17</f>
        <v>2953</v>
      </c>
      <c r="BM24" s="13">
        <f>+'Segment Data'!BM17</f>
        <v>2943</v>
      </c>
      <c r="BN24" s="13">
        <f>+'Segment Data'!BN17</f>
        <v>3088</v>
      </c>
      <c r="BO24" s="59">
        <f>+'Segment Data'!BO17</f>
        <v>11478</v>
      </c>
      <c r="BQ24" s="13">
        <f>+'Segment Data'!BQ17</f>
        <v>2863</v>
      </c>
      <c r="BR24" s="13">
        <f>+'Segment Data'!BR17</f>
        <v>3077</v>
      </c>
      <c r="BS24" s="13">
        <f>+'Segment Data'!BS17</f>
        <v>3027</v>
      </c>
      <c r="BT24" s="13">
        <f>+'Segment Data'!BT17</f>
        <v>3184</v>
      </c>
      <c r="BU24" s="59">
        <f>+'Segment Data'!BU17</f>
        <v>12151</v>
      </c>
      <c r="BW24" s="13">
        <f>+'Segment Data'!BW17</f>
        <v>2806</v>
      </c>
      <c r="BX24" s="13">
        <f>+'Segment Data'!BX17</f>
        <v>3079</v>
      </c>
      <c r="BY24" s="13">
        <f>+'Segment Data'!BY17</f>
        <v>3036</v>
      </c>
      <c r="BZ24" s="13">
        <f>+'Segment Data'!BZ17</f>
        <v>3227</v>
      </c>
      <c r="CA24" s="59">
        <f>+'Segment Data'!CA17</f>
        <v>12148</v>
      </c>
      <c r="CC24" s="13">
        <f>+'Segment Data'!CC17</f>
        <v>2859</v>
      </c>
      <c r="CD24" s="13">
        <f>+'Segment Data'!CD17</f>
        <v>3264</v>
      </c>
      <c r="CE24" s="13">
        <f>+'Segment Data'!CE17</f>
        <v>3282</v>
      </c>
      <c r="CF24" s="13">
        <f>+'Segment Data'!CF17</f>
        <v>3438</v>
      </c>
      <c r="CG24" s="59">
        <f>+'Segment Data'!CG17</f>
        <v>12843</v>
      </c>
      <c r="CI24" s="13">
        <f>+'Segment Data'!CI17</f>
        <v>3179</v>
      </c>
      <c r="CJ24" s="13">
        <v>3337</v>
      </c>
      <c r="CK24" s="13">
        <v>3281</v>
      </c>
      <c r="CL24" s="13">
        <f>+'Segment Data'!CL17</f>
        <v>3383</v>
      </c>
      <c r="CM24" s="59">
        <f>+'Segment Data'!CM17</f>
        <v>13180</v>
      </c>
    </row>
    <row r="25" spans="1:91">
      <c r="AW25" s="11"/>
      <c r="BC25" s="11"/>
      <c r="BI25" s="11"/>
      <c r="BO25" s="11"/>
      <c r="BU25" s="11"/>
      <c r="CA25" s="11"/>
      <c r="CG25" s="11"/>
      <c r="CM25" s="11"/>
    </row>
    <row r="26" spans="1:91">
      <c r="A26" s="5" t="s">
        <v>15</v>
      </c>
      <c r="B26" s="6"/>
      <c r="C26" s="103" t="s">
        <v>10</v>
      </c>
      <c r="D26" s="103" t="s">
        <v>11</v>
      </c>
      <c r="E26" s="103" t="s">
        <v>12</v>
      </c>
      <c r="F26" s="103" t="s">
        <v>13</v>
      </c>
      <c r="G26" s="22"/>
      <c r="H26" s="8"/>
      <c r="I26" s="103" t="s">
        <v>10</v>
      </c>
      <c r="J26" s="103" t="s">
        <v>11</v>
      </c>
      <c r="K26" s="103" t="s">
        <v>12</v>
      </c>
      <c r="L26" s="103" t="s">
        <v>13</v>
      </c>
      <c r="M26" s="22"/>
      <c r="O26" s="103" t="s">
        <v>10</v>
      </c>
      <c r="P26" s="103" t="s">
        <v>11</v>
      </c>
      <c r="Q26" s="103" t="s">
        <v>12</v>
      </c>
      <c r="R26" s="103" t="s">
        <v>13</v>
      </c>
      <c r="S26" s="22"/>
      <c r="U26" s="103" t="s">
        <v>10</v>
      </c>
      <c r="V26" s="103" t="s">
        <v>11</v>
      </c>
      <c r="W26" s="103" t="s">
        <v>12</v>
      </c>
      <c r="X26" s="103" t="s">
        <v>13</v>
      </c>
      <c r="Y26" s="22"/>
      <c r="AA26" s="103" t="s">
        <v>10</v>
      </c>
      <c r="AB26" s="103" t="s">
        <v>11</v>
      </c>
      <c r="AC26" s="103" t="s">
        <v>12</v>
      </c>
      <c r="AD26" s="103" t="s">
        <v>13</v>
      </c>
      <c r="AE26" s="22"/>
      <c r="AG26" s="103" t="s">
        <v>10</v>
      </c>
      <c r="AH26" s="103" t="s">
        <v>11</v>
      </c>
      <c r="AI26" s="103" t="s">
        <v>12</v>
      </c>
      <c r="AJ26" s="103" t="s">
        <v>13</v>
      </c>
      <c r="AK26" s="22"/>
      <c r="AM26" s="103" t="s">
        <v>10</v>
      </c>
      <c r="AN26" s="103" t="s">
        <v>11</v>
      </c>
      <c r="AO26" s="103" t="s">
        <v>12</v>
      </c>
      <c r="AP26" s="103" t="s">
        <v>13</v>
      </c>
      <c r="AQ26" s="22"/>
      <c r="AS26" s="103" t="s">
        <v>10</v>
      </c>
      <c r="AT26" s="103" t="s">
        <v>11</v>
      </c>
      <c r="AU26" s="103" t="s">
        <v>12</v>
      </c>
      <c r="AV26" s="103" t="s">
        <v>13</v>
      </c>
      <c r="AW26" s="22"/>
      <c r="AY26" s="103" t="s">
        <v>10</v>
      </c>
      <c r="AZ26" s="103" t="s">
        <v>11</v>
      </c>
      <c r="BA26" s="103" t="s">
        <v>12</v>
      </c>
      <c r="BB26" s="103" t="s">
        <v>13</v>
      </c>
      <c r="BC26" s="22"/>
      <c r="BE26" s="103" t="s">
        <v>10</v>
      </c>
      <c r="BF26" s="103" t="s">
        <v>11</v>
      </c>
      <c r="BG26" s="103" t="s">
        <v>12</v>
      </c>
      <c r="BH26" s="103" t="s">
        <v>13</v>
      </c>
      <c r="BI26" s="22"/>
      <c r="BK26" s="103" t="s">
        <v>10</v>
      </c>
      <c r="BL26" s="103" t="s">
        <v>11</v>
      </c>
      <c r="BM26" s="103" t="s">
        <v>12</v>
      </c>
      <c r="BN26" s="103" t="s">
        <v>13</v>
      </c>
      <c r="BO26" s="22"/>
      <c r="BQ26" s="103" t="s">
        <v>10</v>
      </c>
      <c r="BR26" s="103" t="s">
        <v>11</v>
      </c>
      <c r="BS26" s="103" t="s">
        <v>12</v>
      </c>
      <c r="BT26" s="103" t="s">
        <v>13</v>
      </c>
      <c r="BU26" s="22"/>
      <c r="BW26" s="103" t="s">
        <v>10</v>
      </c>
      <c r="BX26" s="103" t="s">
        <v>11</v>
      </c>
      <c r="BY26" s="103" t="s">
        <v>12</v>
      </c>
      <c r="BZ26" s="103" t="s">
        <v>13</v>
      </c>
      <c r="CA26" s="22"/>
      <c r="CC26" s="103" t="s">
        <v>10</v>
      </c>
      <c r="CD26" s="103" t="s">
        <v>11</v>
      </c>
      <c r="CE26" s="103" t="s">
        <v>12</v>
      </c>
      <c r="CF26" s="103" t="s">
        <v>13</v>
      </c>
      <c r="CG26" s="22"/>
      <c r="CI26" s="103" t="s">
        <v>10</v>
      </c>
      <c r="CJ26" s="103" t="s">
        <v>11</v>
      </c>
      <c r="CK26" s="103" t="s">
        <v>12</v>
      </c>
      <c r="CL26" s="103" t="s">
        <v>13</v>
      </c>
      <c r="CM26" s="22"/>
    </row>
    <row r="27" spans="1:91" ht="3.75" customHeight="1">
      <c r="X27" s="4">
        <v>-18</v>
      </c>
      <c r="AD27" s="4">
        <v>-18</v>
      </c>
      <c r="AJ27" s="4">
        <v>-18</v>
      </c>
      <c r="AP27" s="4">
        <v>-18</v>
      </c>
      <c r="AV27" s="4">
        <v>-18</v>
      </c>
      <c r="AW27" s="11"/>
      <c r="BB27" s="4">
        <v>-18</v>
      </c>
      <c r="BC27" s="11"/>
      <c r="BH27" s="4">
        <v>-18</v>
      </c>
      <c r="BI27" s="11"/>
      <c r="BN27" s="4">
        <v>-18</v>
      </c>
      <c r="BO27" s="11"/>
      <c r="BT27" s="4">
        <v>-18</v>
      </c>
      <c r="BU27" s="11"/>
      <c r="BZ27" s="4">
        <v>-18</v>
      </c>
      <c r="CA27" s="11"/>
      <c r="CF27" s="4">
        <v>-18</v>
      </c>
      <c r="CG27" s="11"/>
      <c r="CL27" s="4">
        <v>-18</v>
      </c>
      <c r="CM27" s="11"/>
    </row>
    <row r="28" spans="1:91">
      <c r="A28" s="4" t="s">
        <v>16</v>
      </c>
      <c r="C28" s="13">
        <v>540</v>
      </c>
      <c r="D28" s="13">
        <v>500</v>
      </c>
      <c r="E28" s="13">
        <v>500</v>
      </c>
      <c r="F28" s="13">
        <v>500</v>
      </c>
      <c r="G28" s="18"/>
      <c r="H28" s="15"/>
      <c r="I28" s="13">
        <v>500</v>
      </c>
      <c r="J28" s="13">
        <v>500</v>
      </c>
      <c r="K28" s="13">
        <v>500</v>
      </c>
      <c r="L28" s="13">
        <v>500</v>
      </c>
      <c r="O28" s="13">
        <v>500</v>
      </c>
      <c r="P28" s="13">
        <v>500</v>
      </c>
      <c r="Q28" s="13">
        <v>500</v>
      </c>
      <c r="R28" s="13">
        <v>500</v>
      </c>
      <c r="U28" s="13">
        <v>500</v>
      </c>
      <c r="V28" s="13">
        <v>500</v>
      </c>
      <c r="W28" s="13">
        <v>490</v>
      </c>
      <c r="X28" s="13">
        <v>490</v>
      </c>
      <c r="AA28" s="13">
        <v>500</v>
      </c>
      <c r="AB28" s="13">
        <v>500</v>
      </c>
      <c r="AC28" s="13">
        <v>490</v>
      </c>
      <c r="AD28" s="13">
        <v>490</v>
      </c>
      <c r="AG28" s="13">
        <v>490</v>
      </c>
      <c r="AH28" s="13">
        <v>490</v>
      </c>
      <c r="AI28" s="13">
        <v>490</v>
      </c>
      <c r="AJ28" s="13">
        <v>490</v>
      </c>
      <c r="AM28" s="13">
        <v>490</v>
      </c>
      <c r="AN28" s="13">
        <v>470</v>
      </c>
      <c r="AO28" s="13">
        <v>470</v>
      </c>
      <c r="AP28" s="13">
        <v>470</v>
      </c>
      <c r="AS28" s="13">
        <v>471</v>
      </c>
      <c r="AT28" s="13">
        <v>473</v>
      </c>
      <c r="AU28" s="13">
        <v>473</v>
      </c>
      <c r="AV28" s="13">
        <v>473</v>
      </c>
      <c r="AW28" s="11"/>
      <c r="AY28" s="13">
        <v>473</v>
      </c>
      <c r="AZ28" s="13">
        <v>474</v>
      </c>
      <c r="BA28" s="13">
        <v>474</v>
      </c>
      <c r="BB28" s="13">
        <v>474</v>
      </c>
      <c r="BC28" s="11"/>
      <c r="BE28" s="13">
        <v>474</v>
      </c>
      <c r="BF28" s="13">
        <v>474</v>
      </c>
      <c r="BG28" s="13">
        <v>474</v>
      </c>
      <c r="BH28" s="13">
        <v>474</v>
      </c>
      <c r="BI28" s="11"/>
      <c r="BK28" s="13">
        <v>474</v>
      </c>
      <c r="BL28" s="13">
        <v>475</v>
      </c>
      <c r="BM28" s="13">
        <v>475</v>
      </c>
      <c r="BN28" s="13">
        <v>475</v>
      </c>
      <c r="BO28" s="11"/>
      <c r="BQ28" s="13">
        <v>475</v>
      </c>
      <c r="BR28" s="13">
        <v>475</v>
      </c>
      <c r="BS28" s="13">
        <v>475</v>
      </c>
      <c r="BT28" s="13">
        <v>475</v>
      </c>
      <c r="BU28" s="11"/>
      <c r="BW28" s="13">
        <v>478</v>
      </c>
      <c r="BX28" s="13">
        <v>478</v>
      </c>
      <c r="BY28" s="13">
        <v>478</v>
      </c>
      <c r="BZ28" s="13">
        <v>478</v>
      </c>
      <c r="CA28" s="11"/>
      <c r="CC28" s="13">
        <v>479</v>
      </c>
      <c r="CD28" s="13">
        <v>479</v>
      </c>
      <c r="CE28" s="13">
        <v>479</v>
      </c>
      <c r="CF28" s="13">
        <v>479</v>
      </c>
      <c r="CG28" s="11"/>
      <c r="CI28" s="13">
        <v>479</v>
      </c>
      <c r="CJ28" s="13">
        <v>479</v>
      </c>
      <c r="CK28" s="13">
        <v>479</v>
      </c>
      <c r="CL28" s="13">
        <v>479</v>
      </c>
      <c r="CM28" s="11"/>
    </row>
    <row r="29" spans="1:91">
      <c r="A29" s="4" t="s">
        <v>64</v>
      </c>
      <c r="C29" s="13" t="s">
        <v>78</v>
      </c>
      <c r="D29" s="13">
        <f>'Balance Sheet'!D21</f>
        <v>3894</v>
      </c>
      <c r="E29" s="13">
        <f>'Balance Sheet'!E21</f>
        <v>3790</v>
      </c>
      <c r="F29" s="13">
        <f>'Balance Sheet'!F21</f>
        <v>3762</v>
      </c>
      <c r="G29" s="18"/>
      <c r="H29" s="15"/>
      <c r="I29" s="13">
        <f>'Balance Sheet'!H21</f>
        <v>3741</v>
      </c>
      <c r="J29" s="13">
        <f>'Balance Sheet'!I21</f>
        <v>3554</v>
      </c>
      <c r="K29" s="13">
        <f>'Balance Sheet'!J21</f>
        <v>3547</v>
      </c>
      <c r="L29" s="13">
        <f>'Balance Sheet'!K21</f>
        <v>2898</v>
      </c>
      <c r="O29" s="13">
        <v>2880</v>
      </c>
      <c r="P29" s="13">
        <v>2787</v>
      </c>
      <c r="Q29" s="13">
        <v>2815</v>
      </c>
      <c r="R29" s="13">
        <v>2831</v>
      </c>
      <c r="U29" s="13">
        <v>2837</v>
      </c>
      <c r="V29" s="13">
        <v>2689</v>
      </c>
      <c r="W29" s="13">
        <v>2804</v>
      </c>
      <c r="X29" s="13">
        <v>2859</v>
      </c>
      <c r="AA29" s="13">
        <v>2721</v>
      </c>
      <c r="AB29" s="13">
        <v>2467</v>
      </c>
      <c r="AC29" s="13">
        <v>2603</v>
      </c>
      <c r="AD29" s="13">
        <v>2678</v>
      </c>
      <c r="AG29" s="13">
        <v>2742</v>
      </c>
      <c r="AH29" s="13">
        <v>2703</v>
      </c>
      <c r="AI29" s="13">
        <v>2573</v>
      </c>
      <c r="AJ29" s="13">
        <v>2672</v>
      </c>
      <c r="AM29" s="13">
        <v>2711</v>
      </c>
      <c r="AN29" s="13">
        <v>2526</v>
      </c>
      <c r="AO29" s="13">
        <v>2663</v>
      </c>
      <c r="AP29" s="13">
        <v>2787</v>
      </c>
      <c r="AS29" s="13">
        <v>2887</v>
      </c>
      <c r="AT29" s="13">
        <v>2847</v>
      </c>
      <c r="AU29" s="13">
        <v>2960</v>
      </c>
      <c r="AV29" s="13">
        <v>3246</v>
      </c>
      <c r="AW29" s="11"/>
      <c r="AY29" s="13">
        <v>3337</v>
      </c>
      <c r="AZ29" s="13">
        <v>3355</v>
      </c>
      <c r="BA29" s="13">
        <v>3598</v>
      </c>
      <c r="BB29" s="13">
        <v>3427</v>
      </c>
      <c r="BC29" s="11"/>
      <c r="BE29" s="13">
        <v>3451.1</v>
      </c>
      <c r="BF29" s="13">
        <v>3508</v>
      </c>
      <c r="BG29" s="13">
        <v>3538</v>
      </c>
      <c r="BH29" s="13">
        <v>3719</v>
      </c>
      <c r="BI29" s="11"/>
      <c r="BK29" s="13">
        <v>3810</v>
      </c>
      <c r="BL29" s="13">
        <v>4030</v>
      </c>
      <c r="BM29" s="13">
        <v>3992</v>
      </c>
      <c r="BN29" s="13">
        <v>4105</v>
      </c>
      <c r="BO29" s="11"/>
      <c r="BQ29" s="13">
        <v>3989</v>
      </c>
      <c r="BR29" s="13">
        <v>3983</v>
      </c>
      <c r="BS29" s="13">
        <v>4000</v>
      </c>
      <c r="BT29" s="13">
        <v>4060</v>
      </c>
      <c r="BU29" s="11"/>
      <c r="BW29" s="13">
        <v>4116</v>
      </c>
      <c r="BX29" s="13">
        <v>5552</v>
      </c>
      <c r="BY29" s="13">
        <v>5650</v>
      </c>
      <c r="BZ29" s="13">
        <v>5730</v>
      </c>
      <c r="CA29" s="11"/>
      <c r="CC29" s="13">
        <v>5571</v>
      </c>
      <c r="CD29" s="13">
        <v>5603</v>
      </c>
      <c r="CE29" s="13">
        <f>+'Balance Sheet'!BR21</f>
        <v>5611</v>
      </c>
      <c r="CF29" s="13">
        <v>5667</v>
      </c>
      <c r="CG29" s="11"/>
      <c r="CI29" s="13">
        <f>+'Balance Sheet'!BU21</f>
        <v>5600</v>
      </c>
      <c r="CJ29" s="13">
        <f>+'Balance Sheet'!BV21</f>
        <v>5685</v>
      </c>
      <c r="CK29" s="13">
        <f>+'Balance Sheet'!BW21</f>
        <v>5913</v>
      </c>
      <c r="CL29" s="13">
        <f>+'Balance Sheet'!BX21</f>
        <v>5969</v>
      </c>
      <c r="CM29" s="11"/>
    </row>
    <row r="30" spans="1:91">
      <c r="A30" s="4" t="s">
        <v>17</v>
      </c>
      <c r="C30" s="13">
        <f>'Balance Sheet'!C18</f>
        <v>9424</v>
      </c>
      <c r="D30" s="13">
        <f>'Balance Sheet'!D18</f>
        <v>6907</v>
      </c>
      <c r="E30" s="13">
        <f>'Balance Sheet'!E18</f>
        <v>6714</v>
      </c>
      <c r="F30" s="13">
        <f>'Balance Sheet'!F18</f>
        <v>6446</v>
      </c>
      <c r="G30" s="18"/>
      <c r="H30" s="15"/>
      <c r="I30" s="13">
        <f>'Balance Sheet'!H18</f>
        <v>6246</v>
      </c>
      <c r="J30" s="13">
        <f>'Balance Sheet'!I18</f>
        <v>5992</v>
      </c>
      <c r="K30" s="13">
        <f>'Balance Sheet'!J18</f>
        <v>5995</v>
      </c>
      <c r="L30" s="13">
        <f>'Balance Sheet'!K18</f>
        <v>5034</v>
      </c>
      <c r="O30" s="13">
        <v>4941</v>
      </c>
      <c r="P30" s="13">
        <v>4765</v>
      </c>
      <c r="Q30" s="13">
        <v>4686</v>
      </c>
      <c r="R30" s="13">
        <v>4663</v>
      </c>
      <c r="U30" s="13">
        <v>4746</v>
      </c>
      <c r="V30" s="13">
        <v>6273</v>
      </c>
      <c r="W30" s="13">
        <v>6093</v>
      </c>
      <c r="X30" s="13">
        <v>6112</v>
      </c>
      <c r="AA30" s="13">
        <v>4623</v>
      </c>
      <c r="AB30" s="13">
        <v>6024</v>
      </c>
      <c r="AC30" s="13">
        <v>5856</v>
      </c>
      <c r="AD30" s="13">
        <v>5874</v>
      </c>
      <c r="AG30" s="13">
        <v>5927</v>
      </c>
      <c r="AH30" s="13">
        <v>6036</v>
      </c>
      <c r="AI30" s="13">
        <v>6107</v>
      </c>
      <c r="AJ30" s="13">
        <v>6177</v>
      </c>
      <c r="AM30" s="13">
        <v>6457</v>
      </c>
      <c r="AN30" s="13">
        <v>6916</v>
      </c>
      <c r="AO30" s="13">
        <v>6890</v>
      </c>
      <c r="AP30" s="13">
        <v>7350</v>
      </c>
      <c r="AS30" s="13">
        <v>7990</v>
      </c>
      <c r="AT30" s="13">
        <v>8588</v>
      </c>
      <c r="AU30" s="13">
        <v>9161</v>
      </c>
      <c r="AV30" s="13">
        <v>9099</v>
      </c>
      <c r="AW30" s="11"/>
      <c r="AY30" s="13">
        <v>9655</v>
      </c>
      <c r="AZ30" s="13">
        <v>10231</v>
      </c>
      <c r="BA30" s="13">
        <v>10309</v>
      </c>
      <c r="BB30" s="13">
        <v>9935</v>
      </c>
      <c r="BC30" s="11"/>
      <c r="BE30" s="13">
        <v>9734.9</v>
      </c>
      <c r="BF30" s="13">
        <v>9889</v>
      </c>
      <c r="BG30" s="13">
        <v>10093</v>
      </c>
      <c r="BH30" s="13">
        <v>10124</v>
      </c>
      <c r="BI30" s="11"/>
      <c r="BK30" s="13">
        <v>11161</v>
      </c>
      <c r="BL30" s="13">
        <v>12134</v>
      </c>
      <c r="BM30" s="13">
        <v>12353</v>
      </c>
      <c r="BN30" s="13">
        <v>12556</v>
      </c>
      <c r="BO30" s="11"/>
      <c r="BQ30" s="13">
        <v>13660</v>
      </c>
      <c r="BR30" s="13">
        <v>13530</v>
      </c>
      <c r="BS30" s="13">
        <v>13607</v>
      </c>
      <c r="BT30" s="13">
        <v>13439</v>
      </c>
      <c r="BU30" s="11"/>
      <c r="BW30" s="13">
        <v>13771</v>
      </c>
      <c r="BX30" s="13">
        <v>13385</v>
      </c>
      <c r="BY30" s="13">
        <v>13208</v>
      </c>
      <c r="BZ30" s="13">
        <v>12936</v>
      </c>
      <c r="CA30" s="11"/>
      <c r="CC30" s="13">
        <v>13661</v>
      </c>
      <c r="CD30" s="13">
        <v>13445</v>
      </c>
      <c r="CE30" s="13">
        <f>+'Balance Sheet'!BR28</f>
        <v>13534</v>
      </c>
      <c r="CF30" s="13">
        <v>12995</v>
      </c>
      <c r="CG30" s="11"/>
      <c r="CI30" s="13">
        <f>+'Balance Sheet'!BU28</f>
        <v>13138</v>
      </c>
      <c r="CJ30" s="13">
        <f>+'Balance Sheet'!BV28</f>
        <v>13051</v>
      </c>
      <c r="CK30" s="13">
        <f>+'Balance Sheet'!BW28</f>
        <v>13432</v>
      </c>
      <c r="CL30" s="13">
        <f>+'Balance Sheet'!BX28</f>
        <v>12338</v>
      </c>
      <c r="CM30" s="11"/>
    </row>
    <row r="31" spans="1:91">
      <c r="A31" s="4" t="s">
        <v>176</v>
      </c>
      <c r="C31" s="13">
        <v>2277</v>
      </c>
      <c r="D31" s="13">
        <v>-221</v>
      </c>
      <c r="E31" s="13">
        <v>-162</v>
      </c>
      <c r="F31" s="13">
        <v>71</v>
      </c>
      <c r="G31" s="18"/>
      <c r="H31" s="15"/>
      <c r="I31" s="13">
        <v>7</v>
      </c>
      <c r="J31" s="13">
        <v>-30</v>
      </c>
      <c r="K31" s="13">
        <v>109</v>
      </c>
      <c r="L31" s="13">
        <v>407</v>
      </c>
      <c r="O31" s="13">
        <v>321</v>
      </c>
      <c r="P31" s="13">
        <v>157</v>
      </c>
      <c r="Q31" s="13">
        <v>236</v>
      </c>
      <c r="R31" s="13">
        <v>409</v>
      </c>
      <c r="U31" s="13">
        <v>217</v>
      </c>
      <c r="V31" s="13">
        <v>-932</v>
      </c>
      <c r="W31" s="13">
        <v>-638</v>
      </c>
      <c r="X31" s="13">
        <v>-333</v>
      </c>
      <c r="AA31" s="13">
        <v>347</v>
      </c>
      <c r="AB31" s="13">
        <v>-778</v>
      </c>
      <c r="AC31" s="13">
        <v>-465</v>
      </c>
      <c r="AD31" s="13">
        <v>-145</v>
      </c>
      <c r="AG31" s="13">
        <v>-337</v>
      </c>
      <c r="AH31" s="13">
        <v>-559</v>
      </c>
      <c r="AI31" s="13">
        <v>-858</v>
      </c>
      <c r="AJ31" s="13">
        <v>-764</v>
      </c>
      <c r="AM31" s="13">
        <v>-1176</v>
      </c>
      <c r="AN31" s="13">
        <v>-1221</v>
      </c>
      <c r="AO31" s="13">
        <v>-1168</v>
      </c>
      <c r="AP31" s="13">
        <v>-1023</v>
      </c>
      <c r="AS31" s="13">
        <v>-1987</v>
      </c>
      <c r="AT31" s="13">
        <v>-2319</v>
      </c>
      <c r="AU31" s="13">
        <v>-2306</v>
      </c>
      <c r="AV31" s="13">
        <v>-1995</v>
      </c>
      <c r="AW31" s="11"/>
      <c r="AY31" s="13">
        <v>-2215</v>
      </c>
      <c r="AZ31" s="13">
        <v>-2825</v>
      </c>
      <c r="BA31" s="13">
        <v>-2821</v>
      </c>
      <c r="BB31" s="13">
        <v>-2260</v>
      </c>
      <c r="BC31" s="11"/>
      <c r="BE31" s="13">
        <v>-2283.3000000000002</v>
      </c>
      <c r="BF31" s="13">
        <v>-2587</v>
      </c>
      <c r="BG31" s="13">
        <v>-2681</v>
      </c>
      <c r="BH31" s="13">
        <v>-2725</v>
      </c>
      <c r="BI31" s="11"/>
      <c r="BK31" s="13">
        <v>-3394</v>
      </c>
      <c r="BL31" s="13">
        <v>-3790</v>
      </c>
      <c r="BM31" s="13">
        <v>-4144</v>
      </c>
      <c r="BN31" s="13">
        <v>-4105</v>
      </c>
      <c r="BO31" s="11"/>
      <c r="BQ31" s="13">
        <v>-4821</v>
      </c>
      <c r="BR31" s="13">
        <v>-4940</v>
      </c>
      <c r="BS31" s="13">
        <v>-4771</v>
      </c>
      <c r="BT31" s="13">
        <f>-4429</f>
        <v>-4429</v>
      </c>
      <c r="BU31" s="11"/>
      <c r="BW31" s="13">
        <v>-4491</v>
      </c>
      <c r="BX31" s="13">
        <v>-2692</v>
      </c>
      <c r="BY31" s="13">
        <v>-2751</v>
      </c>
      <c r="BZ31" s="13">
        <v>-1909</v>
      </c>
      <c r="CA31" s="11"/>
      <c r="CC31" s="13">
        <v>-2776</v>
      </c>
      <c r="CD31" s="13">
        <v>-2839</v>
      </c>
      <c r="CE31" s="13">
        <v>-2753</v>
      </c>
      <c r="CF31" s="13">
        <v>-2111</v>
      </c>
      <c r="CG31" s="11"/>
      <c r="CI31" s="13">
        <v>1999</v>
      </c>
      <c r="CJ31" s="13">
        <v>2008</v>
      </c>
      <c r="CK31" s="13">
        <v>2119</v>
      </c>
      <c r="CL31" s="13">
        <v>1135</v>
      </c>
      <c r="CM31" s="11"/>
    </row>
    <row r="32" spans="1:91">
      <c r="A32" s="4" t="s">
        <v>18</v>
      </c>
      <c r="C32" s="13">
        <f>'Segment Data'!C79</f>
        <v>4376</v>
      </c>
      <c r="D32" s="13">
        <f>'Segment Data'!D79</f>
        <v>4360</v>
      </c>
      <c r="E32" s="13">
        <f>'Segment Data'!E79</f>
        <v>4180</v>
      </c>
      <c r="F32" s="13">
        <f>'Segment Data'!F79</f>
        <v>3916</v>
      </c>
      <c r="G32" s="18"/>
      <c r="H32" s="15"/>
      <c r="I32" s="13">
        <f>'Segment Data'!I79</f>
        <v>3944</v>
      </c>
      <c r="J32" s="13">
        <f>'Segment Data'!J79</f>
        <v>3777</v>
      </c>
      <c r="K32" s="13">
        <f>'Segment Data'!K79</f>
        <v>3616</v>
      </c>
      <c r="L32" s="13">
        <f>'Segment Data'!L79</f>
        <v>2626</v>
      </c>
      <c r="O32" s="13">
        <v>2688</v>
      </c>
      <c r="P32" s="13">
        <v>2759</v>
      </c>
      <c r="Q32" s="13">
        <v>2715</v>
      </c>
      <c r="R32" s="13">
        <v>2549</v>
      </c>
      <c r="U32" s="13">
        <v>2768</v>
      </c>
      <c r="V32" s="13">
        <v>3771</v>
      </c>
      <c r="W32" s="13">
        <v>3589</v>
      </c>
      <c r="X32" s="13">
        <v>3332</v>
      </c>
      <c r="AA32" s="13">
        <v>2436</v>
      </c>
      <c r="AB32" s="13">
        <v>3312</v>
      </c>
      <c r="AC32" s="13">
        <v>3139</v>
      </c>
      <c r="AD32" s="13">
        <v>2900</v>
      </c>
      <c r="AG32" s="13">
        <v>3137</v>
      </c>
      <c r="AH32" s="13">
        <v>3321</v>
      </c>
      <c r="AI32" s="13">
        <v>3494</v>
      </c>
      <c r="AJ32" s="13">
        <v>3499</v>
      </c>
      <c r="AM32" s="13">
        <v>3951</v>
      </c>
      <c r="AN32" s="13">
        <v>3818</v>
      </c>
      <c r="AO32" s="13">
        <v>3845</v>
      </c>
      <c r="AP32" s="13">
        <v>3829</v>
      </c>
      <c r="AS32" s="13">
        <v>4894</v>
      </c>
      <c r="AT32" s="13">
        <v>5191</v>
      </c>
      <c r="AU32" s="13">
        <v>5295</v>
      </c>
      <c r="AV32" s="13">
        <v>5005</v>
      </c>
      <c r="AW32" s="11"/>
      <c r="AY32" s="13">
        <v>5591</v>
      </c>
      <c r="AZ32" s="13">
        <v>6222</v>
      </c>
      <c r="BA32" s="13">
        <v>6465</v>
      </c>
      <c r="BB32" s="13">
        <v>5725</v>
      </c>
      <c r="BC32" s="11"/>
      <c r="BE32" s="13">
        <v>5766.4</v>
      </c>
      <c r="BF32" s="13">
        <v>6129</v>
      </c>
      <c r="BG32" s="13">
        <v>6260</v>
      </c>
      <c r="BH32" s="13">
        <v>6465</v>
      </c>
      <c r="BI32" s="11"/>
      <c r="BK32" s="13">
        <v>7226</v>
      </c>
      <c r="BL32" s="13">
        <v>7843</v>
      </c>
      <c r="BM32" s="13">
        <v>8143</v>
      </c>
      <c r="BN32" s="13">
        <v>8218</v>
      </c>
      <c r="BO32" s="11"/>
      <c r="BQ32" s="13">
        <f>+'Segment Data'!BQ79</f>
        <v>8814</v>
      </c>
      <c r="BR32" s="13">
        <f>+'Segment Data'!BR79</f>
        <v>8928</v>
      </c>
      <c r="BS32" s="13">
        <f>+'Segment Data'!BS79</f>
        <v>8777</v>
      </c>
      <c r="BT32" s="13">
        <f>+'Segment Data'!BT79</f>
        <v>8496</v>
      </c>
      <c r="BU32" s="11"/>
      <c r="BW32" s="13">
        <f>+'Segment Data'!BW79</f>
        <v>8661</v>
      </c>
      <c r="BX32" s="13">
        <v>8250</v>
      </c>
      <c r="BY32" s="13">
        <v>8408</v>
      </c>
      <c r="BZ32" s="13">
        <v>7646</v>
      </c>
      <c r="CA32" s="11"/>
      <c r="CC32" s="13">
        <f>+'Segment Data'!CC79</f>
        <v>8355</v>
      </c>
      <c r="CD32" s="13">
        <f>+'Segment Data'!CD79</f>
        <v>8449</v>
      </c>
      <c r="CE32" s="13">
        <f>+'Segment Data'!CE79</f>
        <v>8371</v>
      </c>
      <c r="CF32" s="13">
        <v>7785</v>
      </c>
      <c r="CG32" s="11"/>
      <c r="CI32" s="13">
        <f>+'Segment Data'!CI79</f>
        <v>7605</v>
      </c>
      <c r="CJ32" s="13">
        <f>+'Segment Data'!CJ79</f>
        <v>7699</v>
      </c>
      <c r="CK32" s="13">
        <f>+'Segment Data'!CK79</f>
        <v>8038</v>
      </c>
      <c r="CL32" s="13">
        <f>+'Segment Data'!CL79</f>
        <v>7110</v>
      </c>
      <c r="CM32" s="11"/>
    </row>
    <row r="33" spans="1:91">
      <c r="AW33" s="11"/>
      <c r="BC33" s="11"/>
      <c r="BI33" s="11"/>
      <c r="BO33" s="11"/>
      <c r="BU33" s="11"/>
      <c r="CA33" s="11"/>
      <c r="CG33" s="11"/>
      <c r="CM33" s="11"/>
    </row>
    <row r="34" spans="1:91">
      <c r="A34" s="5" t="s">
        <v>62</v>
      </c>
      <c r="B34" s="6"/>
      <c r="C34" s="103" t="s">
        <v>10</v>
      </c>
      <c r="D34" s="103" t="s">
        <v>11</v>
      </c>
      <c r="E34" s="103" t="s">
        <v>12</v>
      </c>
      <c r="F34" s="103" t="s">
        <v>13</v>
      </c>
      <c r="G34" s="7" t="s">
        <v>14</v>
      </c>
      <c r="H34" s="8"/>
      <c r="I34" s="103" t="s">
        <v>10</v>
      </c>
      <c r="J34" s="103" t="s">
        <v>11</v>
      </c>
      <c r="K34" s="103" t="s">
        <v>12</v>
      </c>
      <c r="L34" s="103" t="s">
        <v>13</v>
      </c>
      <c r="M34" s="7" t="s">
        <v>14</v>
      </c>
      <c r="O34" s="103" t="s">
        <v>10</v>
      </c>
      <c r="P34" s="103" t="s">
        <v>11</v>
      </c>
      <c r="Q34" s="103" t="s">
        <v>12</v>
      </c>
      <c r="R34" s="103" t="s">
        <v>13</v>
      </c>
      <c r="S34" s="7" t="s">
        <v>14</v>
      </c>
      <c r="U34" s="103" t="s">
        <v>10</v>
      </c>
      <c r="V34" s="103" t="s">
        <v>11</v>
      </c>
      <c r="W34" s="103" t="s">
        <v>12</v>
      </c>
      <c r="X34" s="103" t="s">
        <v>13</v>
      </c>
      <c r="Y34" s="7" t="s">
        <v>14</v>
      </c>
      <c r="AA34" s="103" t="s">
        <v>10</v>
      </c>
      <c r="AB34" s="103" t="s">
        <v>11</v>
      </c>
      <c r="AC34" s="103" t="s">
        <v>12</v>
      </c>
      <c r="AD34" s="103" t="s">
        <v>13</v>
      </c>
      <c r="AE34" s="7" t="s">
        <v>14</v>
      </c>
      <c r="AG34" s="103" t="s">
        <v>10</v>
      </c>
      <c r="AH34" s="103" t="s">
        <v>11</v>
      </c>
      <c r="AI34" s="103" t="s">
        <v>12</v>
      </c>
      <c r="AJ34" s="103" t="s">
        <v>13</v>
      </c>
      <c r="AK34" s="7" t="s">
        <v>14</v>
      </c>
      <c r="AM34" s="103" t="s">
        <v>10</v>
      </c>
      <c r="AN34" s="103" t="s">
        <v>11</v>
      </c>
      <c r="AO34" s="103" t="s">
        <v>12</v>
      </c>
      <c r="AP34" s="103" t="s">
        <v>13</v>
      </c>
      <c r="AQ34" s="7" t="s">
        <v>14</v>
      </c>
      <c r="AS34" s="103" t="s">
        <v>10</v>
      </c>
      <c r="AT34" s="103" t="s">
        <v>11</v>
      </c>
      <c r="AU34" s="103" t="s">
        <v>12</v>
      </c>
      <c r="AV34" s="103" t="s">
        <v>13</v>
      </c>
      <c r="AW34" s="7" t="s">
        <v>14</v>
      </c>
      <c r="AY34" s="103" t="s">
        <v>10</v>
      </c>
      <c r="AZ34" s="103" t="s">
        <v>11</v>
      </c>
      <c r="BA34" s="103" t="s">
        <v>12</v>
      </c>
      <c r="BB34" s="103" t="s">
        <v>13</v>
      </c>
      <c r="BC34" s="7" t="s">
        <v>14</v>
      </c>
      <c r="BE34" s="103" t="s">
        <v>10</v>
      </c>
      <c r="BF34" s="103" t="s">
        <v>11</v>
      </c>
      <c r="BG34" s="103" t="s">
        <v>12</v>
      </c>
      <c r="BH34" s="103" t="s">
        <v>13</v>
      </c>
      <c r="BI34" s="7" t="s">
        <v>14</v>
      </c>
      <c r="BK34" s="103" t="s">
        <v>10</v>
      </c>
      <c r="BL34" s="103" t="s">
        <v>11</v>
      </c>
      <c r="BM34" s="103" t="s">
        <v>12</v>
      </c>
      <c r="BN34" s="103" t="s">
        <v>13</v>
      </c>
      <c r="BO34" s="7" t="s">
        <v>14</v>
      </c>
      <c r="BQ34" s="103" t="s">
        <v>10</v>
      </c>
      <c r="BR34" s="103" t="s">
        <v>11</v>
      </c>
      <c r="BS34" s="103" t="s">
        <v>12</v>
      </c>
      <c r="BT34" s="103" t="s">
        <v>13</v>
      </c>
      <c r="BU34" s="7" t="s">
        <v>14</v>
      </c>
      <c r="BW34" s="103" t="s">
        <v>10</v>
      </c>
      <c r="BX34" s="103" t="s">
        <v>11</v>
      </c>
      <c r="BY34" s="103" t="s">
        <v>12</v>
      </c>
      <c r="BZ34" s="103" t="s">
        <v>13</v>
      </c>
      <c r="CA34" s="7" t="s">
        <v>14</v>
      </c>
      <c r="CC34" s="103" t="s">
        <v>10</v>
      </c>
      <c r="CD34" s="103" t="s">
        <v>11</v>
      </c>
      <c r="CE34" s="103" t="s">
        <v>12</v>
      </c>
      <c r="CF34" s="103" t="s">
        <v>13</v>
      </c>
      <c r="CG34" s="7" t="s">
        <v>14</v>
      </c>
      <c r="CI34" s="103" t="s">
        <v>10</v>
      </c>
      <c r="CJ34" s="103" t="s">
        <v>11</v>
      </c>
      <c r="CK34" s="103" t="s">
        <v>12</v>
      </c>
      <c r="CL34" s="103" t="s">
        <v>13</v>
      </c>
      <c r="CM34" s="7" t="s">
        <v>14</v>
      </c>
    </row>
    <row r="35" spans="1:91" ht="3.75" customHeight="1">
      <c r="G35" s="5"/>
      <c r="M35" s="5"/>
      <c r="S35" s="5"/>
      <c r="V35" s="44"/>
      <c r="W35" s="44"/>
      <c r="X35" s="44"/>
      <c r="Y35" s="5"/>
      <c r="AB35" s="44"/>
      <c r="AC35" s="44"/>
      <c r="AD35" s="44"/>
      <c r="AE35" s="5"/>
      <c r="AH35" s="44"/>
      <c r="AI35" s="44"/>
      <c r="AJ35" s="44"/>
      <c r="AK35" s="5"/>
      <c r="AN35" s="44"/>
      <c r="AO35" s="44"/>
      <c r="AP35" s="44"/>
      <c r="AQ35" s="5"/>
      <c r="AT35" s="44"/>
      <c r="AU35" s="44"/>
      <c r="AV35" s="44"/>
      <c r="AW35" s="5"/>
      <c r="AZ35" s="44"/>
      <c r="BA35" s="44"/>
      <c r="BB35" s="44"/>
      <c r="BC35" s="5"/>
      <c r="BF35" s="44"/>
      <c r="BG35" s="44"/>
      <c r="BH35" s="44"/>
      <c r="BI35" s="5"/>
      <c r="BL35" s="44"/>
      <c r="BM35" s="44"/>
      <c r="BN35" s="44"/>
      <c r="BO35" s="5"/>
      <c r="BR35" s="44"/>
      <c r="BS35" s="44"/>
      <c r="BT35" s="44"/>
      <c r="BU35" s="5"/>
      <c r="BX35" s="44"/>
      <c r="BY35" s="44"/>
      <c r="BZ35" s="44"/>
      <c r="CA35" s="5"/>
      <c r="CD35" s="44"/>
      <c r="CE35" s="44"/>
      <c r="CF35" s="44"/>
      <c r="CG35" s="5"/>
      <c r="CJ35" s="44"/>
      <c r="CK35" s="44"/>
      <c r="CL35" s="44"/>
      <c r="CM35" s="5"/>
    </row>
    <row r="36" spans="1:91">
      <c r="A36" s="4" t="s">
        <v>124</v>
      </c>
      <c r="C36" s="13">
        <v>-25</v>
      </c>
      <c r="D36" s="13">
        <v>107</v>
      </c>
      <c r="E36" s="13">
        <v>16</v>
      </c>
      <c r="F36" s="13">
        <v>348</v>
      </c>
      <c r="G36" s="14">
        <f>SUM(C36:F36)</f>
        <v>446</v>
      </c>
      <c r="H36" s="15"/>
      <c r="I36" s="13">
        <v>-71</v>
      </c>
      <c r="J36" s="13">
        <v>60</v>
      </c>
      <c r="K36" s="13">
        <v>141</v>
      </c>
      <c r="L36" s="13">
        <v>224</v>
      </c>
      <c r="M36" s="14">
        <f>SUM(I36:L36)</f>
        <v>354</v>
      </c>
      <c r="O36" s="13">
        <v>-52</v>
      </c>
      <c r="P36" s="13">
        <v>-50</v>
      </c>
      <c r="Q36" s="13">
        <v>116</v>
      </c>
      <c r="R36" s="13">
        <v>221</v>
      </c>
      <c r="S36" s="14">
        <f>SUM(O36:R36)</f>
        <v>235</v>
      </c>
      <c r="U36" s="13">
        <v>-124</v>
      </c>
      <c r="V36" s="13">
        <v>-38</v>
      </c>
      <c r="W36" s="13">
        <v>131</v>
      </c>
      <c r="X36" s="13">
        <v>301</v>
      </c>
      <c r="Y36" s="14">
        <f>SUM(U36:X36)</f>
        <v>270</v>
      </c>
      <c r="AA36" s="13">
        <v>-119</v>
      </c>
      <c r="AB36" s="13">
        <v>-20</v>
      </c>
      <c r="AC36" s="13">
        <v>149</v>
      </c>
      <c r="AD36" s="13">
        <v>275</v>
      </c>
      <c r="AE36" s="14">
        <f>SUM(AA36:AD36)</f>
        <v>285</v>
      </c>
      <c r="AG36" s="13">
        <v>-188</v>
      </c>
      <c r="AH36" s="13">
        <v>20</v>
      </c>
      <c r="AI36" s="13">
        <v>55</v>
      </c>
      <c r="AJ36" s="13">
        <v>154</v>
      </c>
      <c r="AK36" s="14">
        <f>SUM(AG36:AJ36)</f>
        <v>41</v>
      </c>
      <c r="AM36" s="13">
        <v>-216</v>
      </c>
      <c r="AN36" s="13">
        <v>79</v>
      </c>
      <c r="AO36" s="13">
        <v>186</v>
      </c>
      <c r="AP36" s="13">
        <v>216</v>
      </c>
      <c r="AQ36" s="14">
        <f>SUM(AM36:AP36)</f>
        <v>265</v>
      </c>
      <c r="AS36" s="13">
        <v>50</v>
      </c>
      <c r="AT36" s="13">
        <v>140</v>
      </c>
      <c r="AU36" s="13">
        <v>425</v>
      </c>
      <c r="AV36" s="13">
        <v>547</v>
      </c>
      <c r="AW36" s="14">
        <f>SUM(AS36:AV36)</f>
        <v>1162</v>
      </c>
      <c r="AY36" s="13">
        <v>-250</v>
      </c>
      <c r="AZ36" s="13">
        <v>-23</v>
      </c>
      <c r="BA36" s="13">
        <v>179</v>
      </c>
      <c r="BB36" s="57">
        <v>857</v>
      </c>
      <c r="BC36" s="14">
        <f>SUM(AY36:BB36)</f>
        <v>763</v>
      </c>
      <c r="BE36" s="57">
        <v>167</v>
      </c>
      <c r="BF36" s="13">
        <v>21</v>
      </c>
      <c r="BG36" s="57">
        <v>203</v>
      </c>
      <c r="BH36" s="57">
        <v>191</v>
      </c>
      <c r="BI36" s="14">
        <f>SUM(BE36:BH36)</f>
        <v>582</v>
      </c>
      <c r="BK36" s="57">
        <v>-221</v>
      </c>
      <c r="BL36" s="57">
        <v>-263</v>
      </c>
      <c r="BM36" s="57">
        <v>-150</v>
      </c>
      <c r="BN36" s="57">
        <v>260</v>
      </c>
      <c r="BO36" s="14">
        <f>SUM(BK36:BN36)</f>
        <v>-374</v>
      </c>
      <c r="BQ36" s="57">
        <f>+Cashflow!BQ12</f>
        <v>-453</v>
      </c>
      <c r="BR36" s="57">
        <f>+Cashflow!BR12</f>
        <v>72</v>
      </c>
      <c r="BS36" s="57">
        <f>+Cashflow!BS12</f>
        <v>399</v>
      </c>
      <c r="BT36" s="57">
        <f>+Cashflow!BT12</f>
        <v>540</v>
      </c>
      <c r="BU36" s="14">
        <f>SUM(BQ36:BT36)</f>
        <v>558</v>
      </c>
      <c r="BW36" s="57">
        <f>+Cashflow!BW12</f>
        <v>27</v>
      </c>
      <c r="BX36" s="57">
        <f>+Cashflow!BX12</f>
        <v>66</v>
      </c>
      <c r="BY36" s="57">
        <f>+Cashflow!BY12</f>
        <v>30</v>
      </c>
      <c r="BZ36" s="57">
        <f>+Cashflow!BZ12</f>
        <v>999</v>
      </c>
      <c r="CA36" s="14">
        <f>SUM(BW36:BZ36)</f>
        <v>1122</v>
      </c>
      <c r="CC36" s="57">
        <f>+Cashflow!CC12</f>
        <v>-521</v>
      </c>
      <c r="CD36" s="57">
        <f>+Cashflow!CD12</f>
        <v>-10</v>
      </c>
      <c r="CE36" s="57">
        <v>356</v>
      </c>
      <c r="CF36" s="57">
        <v>720</v>
      </c>
      <c r="CG36" s="14">
        <f>SUM(CC36:CF36)</f>
        <v>545</v>
      </c>
      <c r="CI36" s="57">
        <f>+Cashflow!CI12</f>
        <v>199</v>
      </c>
      <c r="CJ36" s="57">
        <f>+Cashflow!CJ12</f>
        <v>109</v>
      </c>
      <c r="CK36" s="57">
        <f>+Cashflow!CK12</f>
        <v>129</v>
      </c>
      <c r="CL36" s="57">
        <f>+Cashflow!CL12</f>
        <v>1146</v>
      </c>
      <c r="CM36" s="14">
        <f>SUM(CI36:CL36)</f>
        <v>1583</v>
      </c>
    </row>
    <row r="37" spans="1:91">
      <c r="A37" s="4" t="s">
        <v>125</v>
      </c>
      <c r="C37" s="13">
        <v>-57</v>
      </c>
      <c r="D37" s="13">
        <v>17</v>
      </c>
      <c r="E37" s="13">
        <v>-22</v>
      </c>
      <c r="F37" s="13">
        <v>-61</v>
      </c>
      <c r="G37" s="14">
        <f>SUM(C37:F37)</f>
        <v>-123</v>
      </c>
      <c r="H37" s="15"/>
      <c r="I37" s="13">
        <v>80</v>
      </c>
      <c r="J37" s="13">
        <v>-48</v>
      </c>
      <c r="K37" s="13">
        <v>32</v>
      </c>
      <c r="L37" s="13">
        <v>-7</v>
      </c>
      <c r="M37" s="14">
        <f>SUM(I37:L37)</f>
        <v>57</v>
      </c>
      <c r="O37" s="13">
        <v>-20</v>
      </c>
      <c r="P37" s="13">
        <v>-23</v>
      </c>
      <c r="Q37" s="13">
        <v>-29</v>
      </c>
      <c r="R37" s="13">
        <v>-44</v>
      </c>
      <c r="S37" s="14">
        <f>SUM(O37:R37)</f>
        <v>-116</v>
      </c>
      <c r="U37" s="13">
        <v>-41</v>
      </c>
      <c r="V37" s="13">
        <v>-52</v>
      </c>
      <c r="W37" s="13">
        <v>199</v>
      </c>
      <c r="X37" s="13">
        <v>29</v>
      </c>
      <c r="Y37" s="14">
        <f>SUM(U37:X37)</f>
        <v>135</v>
      </c>
      <c r="AA37" s="13">
        <v>-39</v>
      </c>
      <c r="AB37" s="13">
        <v>-51</v>
      </c>
      <c r="AC37" s="13">
        <v>199</v>
      </c>
      <c r="AD37" s="13">
        <v>31</v>
      </c>
      <c r="AE37" s="14">
        <f>SUM(AA37:AD37)</f>
        <v>140</v>
      </c>
      <c r="AG37" s="13">
        <v>-28</v>
      </c>
      <c r="AH37" s="13">
        <v>-15</v>
      </c>
      <c r="AI37" s="13">
        <v>-56</v>
      </c>
      <c r="AJ37" s="13">
        <v>-6</v>
      </c>
      <c r="AK37" s="14">
        <f>SUM(AG37:AJ37)</f>
        <v>-105</v>
      </c>
      <c r="AM37" s="13">
        <v>-67</v>
      </c>
      <c r="AN37" s="13">
        <v>176</v>
      </c>
      <c r="AO37" s="13">
        <v>-46</v>
      </c>
      <c r="AP37" s="13">
        <v>-92</v>
      </c>
      <c r="AQ37" s="14">
        <f>SUM(AM37:AP37)</f>
        <v>-29</v>
      </c>
      <c r="AS37" s="13">
        <v>-89</v>
      </c>
      <c r="AT37" s="13">
        <v>-85</v>
      </c>
      <c r="AU37" s="13">
        <v>-84</v>
      </c>
      <c r="AV37" s="13">
        <v>-131</v>
      </c>
      <c r="AW37" s="14">
        <f>SUM(AS37:AV37)</f>
        <v>-389</v>
      </c>
      <c r="AY37" s="13">
        <v>187</v>
      </c>
      <c r="AZ37" s="13">
        <v>-154</v>
      </c>
      <c r="BA37" s="13">
        <v>-169</v>
      </c>
      <c r="BB37" s="57">
        <v>-304</v>
      </c>
      <c r="BC37" s="14">
        <f>SUM(AY37:BB37)</f>
        <v>-440</v>
      </c>
      <c r="BE37" s="57">
        <v>-166</v>
      </c>
      <c r="BF37" s="13">
        <v>-255</v>
      </c>
      <c r="BG37" s="57">
        <v>-247</v>
      </c>
      <c r="BH37" s="57">
        <v>-200</v>
      </c>
      <c r="BI37" s="14">
        <f>SUM(BE37:BH37)</f>
        <v>-868</v>
      </c>
      <c r="BK37" s="57">
        <v>-295</v>
      </c>
      <c r="BL37" s="57">
        <f>-159+6</f>
        <v>-153</v>
      </c>
      <c r="BM37" s="57">
        <v>-131</v>
      </c>
      <c r="BN37" s="57">
        <v>-144</v>
      </c>
      <c r="BO37" s="14">
        <f>SUM(BK37:BN37)</f>
        <v>-723</v>
      </c>
      <c r="BQ37" s="57">
        <f>+Cashflow!BQ15</f>
        <v>-93</v>
      </c>
      <c r="BR37" s="57">
        <f>+Cashflow!BR15</f>
        <v>-109</v>
      </c>
      <c r="BS37" s="57">
        <f>+Cashflow!BS15</f>
        <v>-100</v>
      </c>
      <c r="BT37" s="57">
        <f>+Cashflow!BT15</f>
        <v>-125</v>
      </c>
      <c r="BU37" s="14">
        <f>SUM(BQ37:BT37)</f>
        <v>-427</v>
      </c>
      <c r="BW37" s="57">
        <f>+Cashflow!BW15</f>
        <v>-88</v>
      </c>
      <c r="BX37" s="57">
        <f>+Cashflow!BX15</f>
        <v>-67</v>
      </c>
      <c r="BY37" s="57">
        <f>+Cashflow!BY15</f>
        <v>-53</v>
      </c>
      <c r="BZ37" s="57">
        <f>+Cashflow!BZ15</f>
        <v>-109</v>
      </c>
      <c r="CA37" s="14">
        <f>SUM(BW37:BZ37)</f>
        <v>-317</v>
      </c>
      <c r="CC37" s="57">
        <f>+Cashflow!CC15</f>
        <v>-60</v>
      </c>
      <c r="CD37" s="57">
        <f>+Cashflow!CD15</f>
        <v>-53</v>
      </c>
      <c r="CE37" s="57">
        <f>+Cashflow!CE15</f>
        <v>-52</v>
      </c>
      <c r="CF37" s="57">
        <f>+Cashflow!CF15</f>
        <v>-79</v>
      </c>
      <c r="CG37" s="14">
        <f>SUM(CC37:CF37)</f>
        <v>-244</v>
      </c>
      <c r="CI37" s="57">
        <f>+Cashflow!CI15</f>
        <v>-50</v>
      </c>
      <c r="CJ37" s="57">
        <f>+Cashflow!CJ15</f>
        <v>-49</v>
      </c>
      <c r="CK37" s="57">
        <f>+Cashflow!CK15</f>
        <v>-70</v>
      </c>
      <c r="CL37" s="57">
        <f>+Cashflow!CL15</f>
        <v>-62</v>
      </c>
      <c r="CM37" s="14">
        <f>SUM(CI37:CL37)</f>
        <v>-231</v>
      </c>
    </row>
    <row r="38" spans="1:91">
      <c r="AW38" s="11"/>
      <c r="BC38" s="11"/>
      <c r="BI38" s="11"/>
      <c r="BO38" s="11"/>
      <c r="BU38" s="11"/>
      <c r="CA38" s="11"/>
      <c r="CG38" s="11"/>
      <c r="CM38" s="11"/>
    </row>
    <row r="39" spans="1:91">
      <c r="A39" s="5" t="s">
        <v>19</v>
      </c>
      <c r="B39" s="6"/>
      <c r="C39" s="103" t="s">
        <v>10</v>
      </c>
      <c r="D39" s="103" t="s">
        <v>11</v>
      </c>
      <c r="E39" s="103" t="s">
        <v>12</v>
      </c>
      <c r="F39" s="103" t="s">
        <v>13</v>
      </c>
      <c r="G39" s="7" t="s">
        <v>14</v>
      </c>
      <c r="H39" s="8"/>
      <c r="I39" s="103" t="s">
        <v>10</v>
      </c>
      <c r="J39" s="103" t="s">
        <v>11</v>
      </c>
      <c r="K39" s="103" t="s">
        <v>12</v>
      </c>
      <c r="L39" s="103" t="s">
        <v>13</v>
      </c>
      <c r="M39" s="7" t="s">
        <v>14</v>
      </c>
      <c r="O39" s="103" t="s">
        <v>10</v>
      </c>
      <c r="P39" s="103" t="s">
        <v>11</v>
      </c>
      <c r="Q39" s="103" t="s">
        <v>12</v>
      </c>
      <c r="R39" s="103" t="s">
        <v>13</v>
      </c>
      <c r="S39" s="7" t="s">
        <v>14</v>
      </c>
      <c r="U39" s="103" t="s">
        <v>10</v>
      </c>
      <c r="V39" s="103" t="s">
        <v>11</v>
      </c>
      <c r="W39" s="103" t="s">
        <v>12</v>
      </c>
      <c r="X39" s="103" t="s">
        <v>13</v>
      </c>
      <c r="Y39" s="7" t="s">
        <v>14</v>
      </c>
      <c r="AA39" s="103" t="s">
        <v>10</v>
      </c>
      <c r="AB39" s="103" t="s">
        <v>11</v>
      </c>
      <c r="AC39" s="103" t="s">
        <v>12</v>
      </c>
      <c r="AD39" s="103" t="s">
        <v>13</v>
      </c>
      <c r="AE39" s="7" t="s">
        <v>14</v>
      </c>
      <c r="AG39" s="103" t="s">
        <v>10</v>
      </c>
      <c r="AH39" s="103" t="s">
        <v>11</v>
      </c>
      <c r="AI39" s="103" t="s">
        <v>12</v>
      </c>
      <c r="AJ39" s="103" t="s">
        <v>13</v>
      </c>
      <c r="AK39" s="7" t="s">
        <v>14</v>
      </c>
      <c r="AM39" s="103" t="s">
        <v>10</v>
      </c>
      <c r="AN39" s="103" t="s">
        <v>11</v>
      </c>
      <c r="AO39" s="103" t="s">
        <v>12</v>
      </c>
      <c r="AP39" s="103" t="s">
        <v>13</v>
      </c>
      <c r="AQ39" s="7" t="s">
        <v>14</v>
      </c>
      <c r="AS39" s="103" t="s">
        <v>10</v>
      </c>
      <c r="AT39" s="103" t="s">
        <v>11</v>
      </c>
      <c r="AU39" s="103" t="s">
        <v>12</v>
      </c>
      <c r="AV39" s="103" t="s">
        <v>13</v>
      </c>
      <c r="AW39" s="7" t="s">
        <v>14</v>
      </c>
      <c r="AY39" s="103" t="s">
        <v>10</v>
      </c>
      <c r="AZ39" s="103" t="s">
        <v>11</v>
      </c>
      <c r="BA39" s="103" t="s">
        <v>12</v>
      </c>
      <c r="BB39" s="103" t="s">
        <v>13</v>
      </c>
      <c r="BC39" s="7" t="s">
        <v>14</v>
      </c>
      <c r="BE39" s="103" t="s">
        <v>10</v>
      </c>
      <c r="BF39" s="103" t="s">
        <v>11</v>
      </c>
      <c r="BG39" s="103" t="s">
        <v>12</v>
      </c>
      <c r="BH39" s="103" t="s">
        <v>13</v>
      </c>
      <c r="BI39" s="7" t="s">
        <v>14</v>
      </c>
      <c r="BK39" s="103" t="s">
        <v>10</v>
      </c>
      <c r="BL39" s="103" t="s">
        <v>11</v>
      </c>
      <c r="BM39" s="103" t="s">
        <v>12</v>
      </c>
      <c r="BN39" s="103" t="s">
        <v>13</v>
      </c>
      <c r="BO39" s="7" t="s">
        <v>14</v>
      </c>
      <c r="BQ39" s="103" t="s">
        <v>10</v>
      </c>
      <c r="BR39" s="103" t="s">
        <v>11</v>
      </c>
      <c r="BS39" s="103" t="s">
        <v>12</v>
      </c>
      <c r="BT39" s="103" t="s">
        <v>13</v>
      </c>
      <c r="BU39" s="7" t="s">
        <v>14</v>
      </c>
      <c r="BW39" s="103" t="s">
        <v>10</v>
      </c>
      <c r="BX39" s="103" t="s">
        <v>11</v>
      </c>
      <c r="BY39" s="103" t="s">
        <v>12</v>
      </c>
      <c r="BZ39" s="103" t="s">
        <v>13</v>
      </c>
      <c r="CA39" s="7" t="s">
        <v>14</v>
      </c>
      <c r="CC39" s="103" t="s">
        <v>10</v>
      </c>
      <c r="CD39" s="103" t="s">
        <v>11</v>
      </c>
      <c r="CE39" s="103" t="s">
        <v>12</v>
      </c>
      <c r="CF39" s="103" t="s">
        <v>13</v>
      </c>
      <c r="CG39" s="7" t="s">
        <v>14</v>
      </c>
      <c r="CI39" s="103" t="s">
        <v>10</v>
      </c>
      <c r="CJ39" s="103" t="s">
        <v>11</v>
      </c>
      <c r="CK39" s="103" t="s">
        <v>12</v>
      </c>
      <c r="CL39" s="103" t="s">
        <v>13</v>
      </c>
      <c r="CM39" s="7" t="s">
        <v>14</v>
      </c>
    </row>
    <row r="40" spans="1:91" ht="4.5" customHeight="1">
      <c r="AW40" s="11"/>
      <c r="BC40" s="11"/>
      <c r="BI40" s="11"/>
      <c r="BO40" s="11"/>
      <c r="BU40" s="11"/>
      <c r="CA40" s="11"/>
      <c r="CG40" s="11"/>
      <c r="CM40" s="11"/>
    </row>
    <row r="41" spans="1:91">
      <c r="A41" s="4" t="s">
        <v>20</v>
      </c>
      <c r="C41" s="26">
        <v>0.68</v>
      </c>
      <c r="D41" s="26">
        <v>0.56000000000000005</v>
      </c>
      <c r="E41" s="26">
        <v>0.56000000000000005</v>
      </c>
      <c r="F41" s="26">
        <v>0.57999999999999996</v>
      </c>
      <c r="G41" s="27"/>
      <c r="H41" s="28"/>
      <c r="I41" s="26">
        <v>0.6</v>
      </c>
      <c r="J41" s="26">
        <v>0.59</v>
      </c>
      <c r="K41" s="26">
        <v>0.59</v>
      </c>
      <c r="L41" s="26">
        <v>0.57999999999999996</v>
      </c>
      <c r="M41" s="27"/>
      <c r="O41" s="26">
        <v>0.57999999999999996</v>
      </c>
      <c r="P41" s="26">
        <v>0.57999999999999996</v>
      </c>
      <c r="Q41" s="26">
        <v>0.6</v>
      </c>
      <c r="R41" s="26">
        <v>0.61</v>
      </c>
      <c r="S41" s="27"/>
      <c r="U41" s="26">
        <v>0.6</v>
      </c>
      <c r="V41" s="26">
        <v>0.43</v>
      </c>
      <c r="W41" s="26">
        <v>0.46</v>
      </c>
      <c r="X41" s="26">
        <v>0.47</v>
      </c>
      <c r="Y41" s="27"/>
      <c r="AA41" s="26">
        <v>0.6</v>
      </c>
      <c r="AB41" s="26">
        <v>0.42</v>
      </c>
      <c r="AC41" s="26">
        <v>0.46</v>
      </c>
      <c r="AD41" s="26">
        <v>0.47</v>
      </c>
      <c r="AE41" s="27"/>
      <c r="AG41" s="26">
        <v>0.47</v>
      </c>
      <c r="AH41" s="26">
        <v>0.46</v>
      </c>
      <c r="AI41" s="26">
        <v>0.43</v>
      </c>
      <c r="AJ41" s="26">
        <v>0.44</v>
      </c>
      <c r="AK41" s="27"/>
      <c r="AM41" s="26">
        <v>0.43</v>
      </c>
      <c r="AN41" s="26">
        <v>0.38</v>
      </c>
      <c r="AO41" s="26">
        <v>0.39</v>
      </c>
      <c r="AP41" s="26">
        <v>0.38</v>
      </c>
      <c r="AQ41" s="27"/>
      <c r="AS41" s="26">
        <v>0.36</v>
      </c>
      <c r="AT41" s="26">
        <v>0.33</v>
      </c>
      <c r="AU41" s="26">
        <v>0.33</v>
      </c>
      <c r="AV41" s="26">
        <v>0.36</v>
      </c>
      <c r="AW41" s="27" t="s">
        <v>78</v>
      </c>
      <c r="AY41" s="26">
        <v>0.35</v>
      </c>
      <c r="AZ41" s="26">
        <v>0.33</v>
      </c>
      <c r="BA41" s="26">
        <v>0.35</v>
      </c>
      <c r="BB41" s="26">
        <v>0.35</v>
      </c>
      <c r="BC41" s="27" t="s">
        <v>78</v>
      </c>
      <c r="BE41" s="26">
        <v>0.36</v>
      </c>
      <c r="BF41" s="84">
        <v>0.36</v>
      </c>
      <c r="BG41" s="89">
        <v>0.35</v>
      </c>
      <c r="BH41" s="89">
        <v>0.37</v>
      </c>
      <c r="BI41" s="27" t="s">
        <v>78</v>
      </c>
      <c r="BK41" s="26">
        <v>0.34</v>
      </c>
      <c r="BL41" s="89">
        <v>0.33</v>
      </c>
      <c r="BM41" s="89">
        <v>0.32</v>
      </c>
      <c r="BN41" s="89">
        <v>0.33</v>
      </c>
      <c r="BO41" s="89"/>
      <c r="BQ41" s="26">
        <v>0.28999999999999998</v>
      </c>
      <c r="BR41" s="26">
        <v>0.28999999999999998</v>
      </c>
      <c r="BS41" s="89">
        <v>0.28999999999999998</v>
      </c>
      <c r="BT41" s="89">
        <v>0.3</v>
      </c>
      <c r="BU41" s="89"/>
      <c r="BW41" s="26">
        <v>0.3</v>
      </c>
      <c r="BX41" s="26">
        <v>0.41</v>
      </c>
      <c r="BY41" s="26">
        <v>0.43</v>
      </c>
      <c r="BZ41" s="89">
        <v>0.44</v>
      </c>
      <c r="CA41" s="89"/>
      <c r="CC41" s="26">
        <v>0.41</v>
      </c>
      <c r="CD41" s="26">
        <v>0.42</v>
      </c>
      <c r="CE41" s="26">
        <v>0.41</v>
      </c>
      <c r="CF41" s="89">
        <v>0.44</v>
      </c>
      <c r="CG41" s="89"/>
      <c r="CI41" s="26">
        <v>0.43</v>
      </c>
      <c r="CJ41" s="26">
        <v>0.44</v>
      </c>
      <c r="CK41" s="26">
        <v>0.44</v>
      </c>
      <c r="CL41" s="89">
        <v>0.48</v>
      </c>
      <c r="CM41" s="89"/>
    </row>
    <row r="42" spans="1:91">
      <c r="A42" s="4" t="s">
        <v>21</v>
      </c>
      <c r="C42" s="4">
        <v>26980</v>
      </c>
      <c r="D42" s="4">
        <v>25000</v>
      </c>
      <c r="E42" s="4">
        <v>25000</v>
      </c>
      <c r="F42" s="4">
        <v>25000</v>
      </c>
      <c r="I42" s="4">
        <v>25000</v>
      </c>
      <c r="J42" s="4">
        <v>25000</v>
      </c>
      <c r="K42" s="4">
        <v>25000</v>
      </c>
      <c r="L42" s="4">
        <v>25000</v>
      </c>
      <c r="O42" s="4">
        <v>25000</v>
      </c>
      <c r="P42" s="4">
        <v>25000</v>
      </c>
      <c r="Q42" s="4">
        <v>25000</v>
      </c>
      <c r="R42" s="4">
        <v>25000</v>
      </c>
      <c r="U42" s="4">
        <v>25000</v>
      </c>
      <c r="V42" s="4">
        <v>25000</v>
      </c>
      <c r="W42" s="4">
        <v>24500</v>
      </c>
      <c r="X42" s="4">
        <v>24500</v>
      </c>
      <c r="AA42" s="4">
        <v>25000</v>
      </c>
      <c r="AB42" s="4">
        <v>25000</v>
      </c>
      <c r="AC42" s="4">
        <v>24500</v>
      </c>
      <c r="AD42" s="4">
        <v>24500</v>
      </c>
      <c r="AG42" s="4">
        <v>24500</v>
      </c>
      <c r="AH42" s="4">
        <v>24500</v>
      </c>
      <c r="AI42" s="4">
        <v>24500</v>
      </c>
      <c r="AJ42" s="4">
        <v>24500</v>
      </c>
      <c r="AM42" s="4">
        <v>24500</v>
      </c>
      <c r="AN42" s="4">
        <v>23500</v>
      </c>
      <c r="AO42" s="4">
        <v>23500</v>
      </c>
      <c r="AP42" s="4">
        <v>23500</v>
      </c>
      <c r="AS42" s="81">
        <v>23561</v>
      </c>
      <c r="AT42" s="81">
        <v>23638</v>
      </c>
      <c r="AU42" s="81">
        <v>23638</v>
      </c>
      <c r="AV42" s="81">
        <v>23638</v>
      </c>
      <c r="AW42" s="11"/>
      <c r="AY42" s="81">
        <v>23655</v>
      </c>
      <c r="AZ42" s="81">
        <v>23718</v>
      </c>
      <c r="BA42" s="81">
        <v>23718</v>
      </c>
      <c r="BB42" s="81">
        <v>23718</v>
      </c>
      <c r="BC42" s="11"/>
      <c r="BE42" s="81">
        <v>23718</v>
      </c>
      <c r="BF42" s="53">
        <v>23718</v>
      </c>
      <c r="BG42" s="53">
        <v>23718</v>
      </c>
      <c r="BH42" s="53">
        <f>23718</f>
        <v>23718</v>
      </c>
      <c r="BI42" s="11"/>
      <c r="BK42" s="81">
        <v>23722</v>
      </c>
      <c r="BL42" s="81">
        <v>23738</v>
      </c>
      <c r="BM42" s="53">
        <v>23738</v>
      </c>
      <c r="BN42" s="53">
        <v>23738</v>
      </c>
      <c r="BO42" s="11"/>
      <c r="BQ42" s="81">
        <f>+Valuation!BK8</f>
        <v>23737.978999999999</v>
      </c>
      <c r="BR42" s="81">
        <f>+Valuation!BL8</f>
        <v>23737.978999999999</v>
      </c>
      <c r="BS42" s="81">
        <f>+Valuation!BM8</f>
        <v>23737.978999999999</v>
      </c>
      <c r="BT42" s="81">
        <f>+Valuation!BN8</f>
        <v>23737.978999999999</v>
      </c>
      <c r="BU42" s="11"/>
      <c r="BW42" s="81">
        <f>+Valuation!BQ8</f>
        <v>23888</v>
      </c>
      <c r="BX42" s="81">
        <v>23888</v>
      </c>
      <c r="BY42" s="81">
        <v>23888</v>
      </c>
      <c r="BZ42" s="81">
        <v>23888</v>
      </c>
      <c r="CA42" s="11"/>
      <c r="CC42" s="81">
        <f>+Valuation!BW8</f>
        <v>23930</v>
      </c>
      <c r="CD42" s="81">
        <f>+Valuation!BX8</f>
        <v>23930</v>
      </c>
      <c r="CE42" s="81">
        <f>+Valuation!BY8</f>
        <v>23930</v>
      </c>
      <c r="CF42" s="81">
        <f>+Valuation!BZ8</f>
        <v>23930</v>
      </c>
      <c r="CG42" s="11"/>
      <c r="CI42" s="81">
        <f>+Valuation!CC8</f>
        <v>23934</v>
      </c>
      <c r="CJ42" s="81">
        <f>+Valuation!CD8</f>
        <v>23934</v>
      </c>
      <c r="CK42" s="81">
        <f>+Valuation!CE8</f>
        <v>23934</v>
      </c>
      <c r="CL42" s="81">
        <f>+Valuation!CF8</f>
        <v>23934</v>
      </c>
      <c r="CM42" s="11"/>
    </row>
    <row r="43" spans="1:91">
      <c r="A43" s="4" t="s">
        <v>25</v>
      </c>
      <c r="C43" s="29">
        <v>0</v>
      </c>
      <c r="D43" s="29">
        <v>3</v>
      </c>
      <c r="E43" s="29">
        <v>-1.9</v>
      </c>
      <c r="F43" s="29">
        <v>-2.4</v>
      </c>
      <c r="G43" s="30">
        <f>SUM(C43:F43)</f>
        <v>-1.2999999999999998</v>
      </c>
      <c r="H43" s="31"/>
      <c r="I43" s="29">
        <v>-1.3</v>
      </c>
      <c r="J43" s="29">
        <v>-0.9</v>
      </c>
      <c r="K43" s="29">
        <v>0</v>
      </c>
      <c r="L43" s="29">
        <v>-25.6</v>
      </c>
      <c r="M43" s="30">
        <f>SUM(I43:L43)</f>
        <v>-27.8</v>
      </c>
      <c r="O43" s="29">
        <v>-0.1</v>
      </c>
      <c r="P43" s="29">
        <v>0.9</v>
      </c>
      <c r="Q43" s="29">
        <v>1.3</v>
      </c>
      <c r="R43" s="29">
        <v>1.4</v>
      </c>
      <c r="S43" s="30">
        <f>SUM(O43:R43)</f>
        <v>3.5</v>
      </c>
      <c r="U43" s="29">
        <v>0.1</v>
      </c>
      <c r="V43" s="29">
        <v>1.8</v>
      </c>
      <c r="W43" s="29">
        <v>4.4000000000000004</v>
      </c>
      <c r="X43" s="29">
        <v>4.4000000000000004</v>
      </c>
      <c r="Y43" s="30">
        <f>SUM(U43:X43)</f>
        <v>10.700000000000001</v>
      </c>
      <c r="AA43" s="29">
        <v>0.7</v>
      </c>
      <c r="AB43" s="29">
        <v>-2.6</v>
      </c>
      <c r="AC43" s="29">
        <v>5.3</v>
      </c>
      <c r="AD43" s="29">
        <v>4.2</v>
      </c>
      <c r="AE43" s="30">
        <f>SUM(AA43:AD43)</f>
        <v>7.6</v>
      </c>
      <c r="AG43" s="29">
        <v>2.1</v>
      </c>
      <c r="AH43" s="29">
        <v>4.3</v>
      </c>
      <c r="AI43" s="29">
        <v>4.7</v>
      </c>
      <c r="AJ43" s="29">
        <v>3.6</v>
      </c>
      <c r="AK43" s="30">
        <f>SUM(AG43:AJ43)</f>
        <v>14.700000000000001</v>
      </c>
      <c r="AM43" s="29">
        <v>3.6</v>
      </c>
      <c r="AN43" s="29">
        <v>9.4</v>
      </c>
      <c r="AO43" s="29">
        <v>5.9</v>
      </c>
      <c r="AP43" s="29">
        <v>6</v>
      </c>
      <c r="AQ43" s="30">
        <f>SUM(AM43:AP43)</f>
        <v>24.9</v>
      </c>
      <c r="AS43" s="29">
        <v>5.0999999999999996</v>
      </c>
      <c r="AT43" s="29">
        <v>9.3000000000000007</v>
      </c>
      <c r="AU43" s="29">
        <v>6.9</v>
      </c>
      <c r="AV43" s="29">
        <v>12.9</v>
      </c>
      <c r="AW43" s="30">
        <f>SUM(AS43:AV43)</f>
        <v>34.200000000000003</v>
      </c>
      <c r="AY43" s="29">
        <v>5.8</v>
      </c>
      <c r="AZ43" s="29">
        <v>9.8000000000000007</v>
      </c>
      <c r="BA43" s="29">
        <v>5.6</v>
      </c>
      <c r="BB43" s="29">
        <v>-4.2</v>
      </c>
      <c r="BC43" s="30">
        <f>SUM(AY43:BB43)</f>
        <v>17.000000000000004</v>
      </c>
      <c r="BE43" s="80">
        <v>0.1</v>
      </c>
      <c r="BF43" s="86">
        <v>4</v>
      </c>
      <c r="BG43" s="86">
        <v>2.9</v>
      </c>
      <c r="BH43" s="80">
        <v>3.2</v>
      </c>
      <c r="BI43" s="30">
        <f>SUM(BE43:BH43)</f>
        <v>10.199999999999999</v>
      </c>
      <c r="BK43" s="80">
        <v>2.7</v>
      </c>
      <c r="BL43" s="80">
        <v>4.0999999999999996</v>
      </c>
      <c r="BM43" s="86">
        <v>3.3</v>
      </c>
      <c r="BN43" s="80">
        <v>1.2</v>
      </c>
      <c r="BO43" s="30">
        <f>SUM(BK43:BN43)</f>
        <v>11.299999999999999</v>
      </c>
      <c r="BQ43" s="80">
        <v>2.1</v>
      </c>
      <c r="BR43" s="80">
        <v>1.3</v>
      </c>
      <c r="BS43" s="80">
        <v>1.8</v>
      </c>
      <c r="BT43" s="80">
        <v>0.1</v>
      </c>
      <c r="BU43" s="30">
        <f>SUM(BQ43:BT43)</f>
        <v>5.3</v>
      </c>
      <c r="BW43" s="80">
        <v>1.3</v>
      </c>
      <c r="BX43" s="80">
        <v>60.6</v>
      </c>
      <c r="BY43" s="80">
        <v>1.5</v>
      </c>
      <c r="BZ43" s="80">
        <v>4.0999999999999996</v>
      </c>
      <c r="CA43" s="30">
        <f>SUM(BW43:BZ43)</f>
        <v>67.5</v>
      </c>
      <c r="CC43" s="80">
        <v>1</v>
      </c>
      <c r="CD43" s="80">
        <v>3.2</v>
      </c>
      <c r="CE43" s="80">
        <v>2.2000000000000002</v>
      </c>
      <c r="CF43" s="80">
        <v>4.2</v>
      </c>
      <c r="CG43" s="30">
        <f>SUM(CC43:CF43)</f>
        <v>10.600000000000001</v>
      </c>
      <c r="CI43" s="80">
        <v>3.6</v>
      </c>
      <c r="CJ43" s="80">
        <v>2</v>
      </c>
      <c r="CK43" s="80">
        <v>2.5</v>
      </c>
      <c r="CL43" s="80">
        <v>3.6</v>
      </c>
      <c r="CM43" s="30">
        <f>SUM(CI43:CL43)</f>
        <v>11.7</v>
      </c>
    </row>
    <row r="44" spans="1:91">
      <c r="A44" s="4" t="s">
        <v>24</v>
      </c>
      <c r="C44" s="29">
        <v>0</v>
      </c>
      <c r="D44" s="29">
        <v>104</v>
      </c>
      <c r="E44" s="29">
        <v>0</v>
      </c>
      <c r="F44" s="29">
        <v>0</v>
      </c>
      <c r="G44" s="30">
        <f>SUM(C44:F44)</f>
        <v>104</v>
      </c>
      <c r="H44" s="31"/>
      <c r="I44" s="29">
        <v>0</v>
      </c>
      <c r="J44" s="29">
        <v>4</v>
      </c>
      <c r="K44" s="29">
        <v>0</v>
      </c>
      <c r="L44" s="29">
        <v>0</v>
      </c>
      <c r="M44" s="30">
        <f>SUM(I44:L44)</f>
        <v>4</v>
      </c>
      <c r="O44" s="29">
        <v>0</v>
      </c>
      <c r="P44" s="29">
        <v>4</v>
      </c>
      <c r="Q44" s="29">
        <v>0</v>
      </c>
      <c r="R44" s="29">
        <v>0</v>
      </c>
      <c r="S44" s="30">
        <f>SUM(O44:R44)</f>
        <v>4</v>
      </c>
      <c r="U44" s="29">
        <v>0</v>
      </c>
      <c r="V44" s="29">
        <v>8</v>
      </c>
      <c r="W44" s="29">
        <v>0</v>
      </c>
      <c r="X44" s="29">
        <v>0</v>
      </c>
      <c r="Y44" s="30">
        <f>SUM(U44:X44)</f>
        <v>8</v>
      </c>
      <c r="AA44" s="29">
        <v>0</v>
      </c>
      <c r="AB44" s="29">
        <v>8</v>
      </c>
      <c r="AC44" s="29">
        <v>0</v>
      </c>
      <c r="AD44" s="29">
        <v>0</v>
      </c>
      <c r="AE44" s="30">
        <f>SUM(AA44:AD44)</f>
        <v>8</v>
      </c>
      <c r="AG44" s="29">
        <v>0</v>
      </c>
      <c r="AH44" s="29">
        <v>8</v>
      </c>
      <c r="AI44" s="29">
        <v>0</v>
      </c>
      <c r="AJ44" s="29">
        <v>0</v>
      </c>
      <c r="AK44" s="30">
        <f>SUM(AG44:AJ44)</f>
        <v>8</v>
      </c>
      <c r="AM44" s="29">
        <v>0</v>
      </c>
      <c r="AN44" s="29">
        <v>12</v>
      </c>
      <c r="AO44" s="29">
        <v>0</v>
      </c>
      <c r="AP44" s="29">
        <v>0</v>
      </c>
      <c r="AQ44" s="30">
        <f>SUM(AM44:AP44)</f>
        <v>12</v>
      </c>
      <c r="AS44" s="29">
        <v>0</v>
      </c>
      <c r="AT44" s="29">
        <v>10</v>
      </c>
      <c r="AU44" s="29">
        <v>0</v>
      </c>
      <c r="AV44" s="29">
        <v>0</v>
      </c>
      <c r="AW44" s="30">
        <f>SUM(AS44:AV44)</f>
        <v>10</v>
      </c>
      <c r="AY44" s="29">
        <v>0</v>
      </c>
      <c r="AZ44" s="29">
        <v>11</v>
      </c>
      <c r="BA44" s="29">
        <v>0</v>
      </c>
      <c r="BB44" s="29">
        <v>0</v>
      </c>
      <c r="BC44" s="30">
        <f>SUM(AY44:BB44)</f>
        <v>11</v>
      </c>
      <c r="BE44" s="80">
        <v>0</v>
      </c>
      <c r="BF44" s="86">
        <v>0</v>
      </c>
      <c r="BG44" s="86">
        <v>0</v>
      </c>
      <c r="BH44" s="86">
        <v>0</v>
      </c>
      <c r="BI44" s="30">
        <f>SUM(BE44:BH44)</f>
        <v>0</v>
      </c>
      <c r="BK44" s="80">
        <v>3.5</v>
      </c>
      <c r="BL44" s="80">
        <v>0</v>
      </c>
      <c r="BM44" s="80">
        <v>0</v>
      </c>
      <c r="BN44" s="86">
        <v>0</v>
      </c>
      <c r="BO44" s="30">
        <f>SUM(BK44:BN44)</f>
        <v>3.5</v>
      </c>
      <c r="BQ44" s="80">
        <v>2</v>
      </c>
      <c r="BR44" s="80">
        <v>0</v>
      </c>
      <c r="BS44" s="80">
        <v>0</v>
      </c>
      <c r="BT44" s="86">
        <v>0</v>
      </c>
      <c r="BU44" s="30">
        <f>SUM(BQ44:BT44)</f>
        <v>2</v>
      </c>
      <c r="BW44" s="80">
        <v>0</v>
      </c>
      <c r="BX44" s="80">
        <v>2</v>
      </c>
      <c r="BY44" s="80">
        <v>0</v>
      </c>
      <c r="BZ44" s="86">
        <v>0</v>
      </c>
      <c r="CA44" s="30">
        <f>SUM(BW44:BZ44)</f>
        <v>2</v>
      </c>
      <c r="CC44" s="80">
        <v>8</v>
      </c>
      <c r="CD44" s="80">
        <v>0</v>
      </c>
      <c r="CE44" s="80">
        <v>0</v>
      </c>
      <c r="CF44" s="86">
        <v>0</v>
      </c>
      <c r="CG44" s="30">
        <f>SUM(CC44:CF44)</f>
        <v>8</v>
      </c>
      <c r="CI44" s="80">
        <v>3.5</v>
      </c>
      <c r="CJ44" s="80">
        <v>0</v>
      </c>
      <c r="CK44" s="80">
        <v>0</v>
      </c>
      <c r="CL44" s="86">
        <v>0</v>
      </c>
      <c r="CM44" s="30">
        <f>SUM(CI44:CL44)</f>
        <v>3.5</v>
      </c>
    </row>
    <row r="45" spans="1:91">
      <c r="A45" s="4" t="s">
        <v>23</v>
      </c>
      <c r="C45" s="4">
        <v>238</v>
      </c>
      <c r="D45" s="4">
        <v>156</v>
      </c>
      <c r="E45" s="4">
        <v>152</v>
      </c>
      <c r="F45" s="4">
        <v>151</v>
      </c>
      <c r="I45" s="4">
        <v>150</v>
      </c>
      <c r="J45" s="4">
        <v>142</v>
      </c>
      <c r="K45" s="4">
        <v>142</v>
      </c>
      <c r="L45" s="4">
        <v>116</v>
      </c>
      <c r="O45" s="4">
        <v>118</v>
      </c>
      <c r="P45" s="4">
        <v>114</v>
      </c>
      <c r="Q45" s="4">
        <v>115</v>
      </c>
      <c r="R45" s="4">
        <v>116</v>
      </c>
      <c r="U45" s="4">
        <v>116</v>
      </c>
      <c r="V45" s="4">
        <v>110</v>
      </c>
      <c r="W45" s="4">
        <v>114</v>
      </c>
      <c r="X45" s="4">
        <v>117</v>
      </c>
      <c r="AA45" s="4">
        <v>111</v>
      </c>
      <c r="AB45" s="4">
        <v>101</v>
      </c>
      <c r="AC45" s="4">
        <v>106</v>
      </c>
      <c r="AD45" s="4">
        <v>109</v>
      </c>
      <c r="AG45" s="4">
        <v>112</v>
      </c>
      <c r="AH45" s="4">
        <v>111</v>
      </c>
      <c r="AI45" s="4">
        <v>110</v>
      </c>
      <c r="AJ45" s="4">
        <v>114</v>
      </c>
      <c r="AM45" s="4">
        <v>116</v>
      </c>
      <c r="AN45" s="4">
        <v>108</v>
      </c>
      <c r="AO45" s="4">
        <v>114</v>
      </c>
      <c r="AP45" s="4">
        <v>119</v>
      </c>
      <c r="AS45" s="4">
        <v>123</v>
      </c>
      <c r="AT45" s="4">
        <v>121</v>
      </c>
      <c r="AU45" s="4">
        <v>126</v>
      </c>
      <c r="AV45" s="4">
        <v>137</v>
      </c>
      <c r="AW45" s="11"/>
      <c r="AY45" s="4">
        <v>142</v>
      </c>
      <c r="AZ45" s="4">
        <v>142</v>
      </c>
      <c r="BA45" s="4">
        <v>152</v>
      </c>
      <c r="BB45" s="4">
        <v>145</v>
      </c>
      <c r="BC45" s="11"/>
      <c r="BE45" s="9">
        <v>146</v>
      </c>
      <c r="BF45" s="85">
        <v>148</v>
      </c>
      <c r="BG45" s="9">
        <v>150</v>
      </c>
      <c r="BH45" s="90">
        <f>+BH29/BH42*1000</f>
        <v>156.80074205244961</v>
      </c>
      <c r="BI45" s="11"/>
      <c r="BK45" s="9">
        <v>161</v>
      </c>
      <c r="BL45" s="90">
        <f>+BL29/BL42*1000</f>
        <v>169.76998904709748</v>
      </c>
      <c r="BM45" s="90">
        <f>+BM29/Valuation!BG10*1000</f>
        <v>168.7164532352817</v>
      </c>
      <c r="BN45" s="90">
        <f>+BN29/Valuation!BH10*1000</f>
        <v>173.49224462195173</v>
      </c>
      <c r="BO45" s="11"/>
      <c r="BQ45" s="90">
        <f>+BQ29/Valuation!BK10*1000</f>
        <v>168.59284021836513</v>
      </c>
      <c r="BR45" s="90">
        <f>+BR29/Valuation!BL10*1000</f>
        <v>168.33925359482285</v>
      </c>
      <c r="BS45" s="90">
        <f>+BS29/Valuation!BM10*1000</f>
        <v>169.05774902819266</v>
      </c>
      <c r="BT45" s="90">
        <f>+BT29/Valuation!BN10*1000</f>
        <v>171.59361526361556</v>
      </c>
      <c r="BU45" s="11"/>
      <c r="BW45" s="90">
        <f>+BW29/Valuation!BQ10*1000</f>
        <v>172.8643680381511</v>
      </c>
      <c r="BX45" s="90">
        <v>233</v>
      </c>
      <c r="BY45" s="90">
        <v>237</v>
      </c>
      <c r="BZ45" s="90">
        <v>241</v>
      </c>
      <c r="CA45" s="11"/>
      <c r="CC45" s="90">
        <f>+CC29/Valuation!BW10*1000</f>
        <v>233.55552760659037</v>
      </c>
      <c r="CD45" s="90">
        <f>+CD29/Valuation!BX10*1000</f>
        <v>234.89707793568942</v>
      </c>
      <c r="CE45" s="90">
        <f>+CE29/Valuation!BY10*1000</f>
        <v>235.23246551796421</v>
      </c>
      <c r="CF45" s="90">
        <f>+CF29/Valuation!BZ10*1000</f>
        <v>237.58017859388755</v>
      </c>
      <c r="CG45" s="11"/>
      <c r="CI45" s="90">
        <f>+CI29/Valuation!CC10*1000</f>
        <v>234.73194450266169</v>
      </c>
      <c r="CJ45" s="90">
        <f>+CJ29/Valuation!CD10*1000</f>
        <v>238.29484008886283</v>
      </c>
      <c r="CK45" s="90">
        <f>+CK29/Valuation!CE10*1000</f>
        <v>247.85178354361403</v>
      </c>
      <c r="CL45" s="90">
        <f>+CL29/Valuation!CF10*1000</f>
        <v>250.19910298864067</v>
      </c>
      <c r="CM45" s="11"/>
    </row>
    <row r="46" spans="1:91">
      <c r="A46" s="4" t="s">
        <v>22</v>
      </c>
      <c r="C46" s="4">
        <v>252</v>
      </c>
      <c r="D46" s="4">
        <v>119</v>
      </c>
      <c r="E46" s="4">
        <v>103</v>
      </c>
      <c r="F46" s="4">
        <v>105</v>
      </c>
      <c r="I46" s="4">
        <v>95</v>
      </c>
      <c r="J46" s="4">
        <v>85</v>
      </c>
      <c r="K46" s="4">
        <v>57</v>
      </c>
      <c r="L46" s="4">
        <v>74</v>
      </c>
      <c r="O46" s="4">
        <v>76</v>
      </c>
      <c r="P46" s="4">
        <v>90</v>
      </c>
      <c r="Q46" s="4">
        <v>106</v>
      </c>
      <c r="R46" s="4">
        <v>108</v>
      </c>
      <c r="U46" s="4">
        <v>118</v>
      </c>
      <c r="V46" s="4">
        <v>125</v>
      </c>
      <c r="W46" s="4">
        <v>137</v>
      </c>
      <c r="X46" s="4">
        <v>159</v>
      </c>
      <c r="AA46" s="4">
        <v>118</v>
      </c>
      <c r="AB46" s="4">
        <v>125</v>
      </c>
      <c r="AC46" s="4">
        <v>137</v>
      </c>
      <c r="AD46" s="4">
        <v>159</v>
      </c>
      <c r="AG46" s="4">
        <v>198</v>
      </c>
      <c r="AH46" s="4">
        <v>229</v>
      </c>
      <c r="AI46" s="4">
        <v>262</v>
      </c>
      <c r="AJ46" s="4">
        <v>289</v>
      </c>
      <c r="AM46" s="4">
        <v>389</v>
      </c>
      <c r="AN46" s="4">
        <v>366</v>
      </c>
      <c r="AO46" s="4">
        <v>442</v>
      </c>
      <c r="AP46" s="4">
        <v>503</v>
      </c>
      <c r="AS46" s="4">
        <v>449</v>
      </c>
      <c r="AT46" s="4">
        <v>549</v>
      </c>
      <c r="AU46" s="4">
        <v>586</v>
      </c>
      <c r="AV46" s="4">
        <v>459</v>
      </c>
      <c r="AW46" s="11"/>
      <c r="AY46" s="4">
        <v>340</v>
      </c>
      <c r="AZ46" s="4">
        <v>383</v>
      </c>
      <c r="BA46" s="4">
        <v>245</v>
      </c>
      <c r="BB46" s="4">
        <v>106</v>
      </c>
      <c r="BC46" s="11"/>
      <c r="BE46" s="85">
        <v>97</v>
      </c>
      <c r="BF46" s="82">
        <v>179</v>
      </c>
      <c r="BG46" s="85">
        <v>297</v>
      </c>
      <c r="BH46" s="9">
        <v>291</v>
      </c>
      <c r="BI46" s="11"/>
      <c r="BK46" s="85">
        <v>305</v>
      </c>
      <c r="BL46" s="57">
        <v>274</v>
      </c>
      <c r="BM46" s="85">
        <v>270</v>
      </c>
      <c r="BN46" s="9">
        <v>297</v>
      </c>
      <c r="BO46" s="11"/>
      <c r="BQ46" s="82">
        <f>+Valuation!BK12</f>
        <v>309</v>
      </c>
      <c r="BR46" s="82">
        <f>+Valuation!BL12</f>
        <v>329</v>
      </c>
      <c r="BS46" s="82">
        <f>+Valuation!BM12</f>
        <v>202</v>
      </c>
      <c r="BT46" s="82">
        <f>+Valuation!BN12</f>
        <v>191</v>
      </c>
      <c r="BU46" s="11"/>
      <c r="BW46" s="82">
        <f>+Valuation!BQ12</f>
        <v>254</v>
      </c>
      <c r="BX46" s="82">
        <v>190</v>
      </c>
      <c r="BY46" s="82">
        <v>202</v>
      </c>
      <c r="BZ46" s="82">
        <v>204</v>
      </c>
      <c r="CA46" s="11"/>
      <c r="CC46" s="82">
        <f>+Valuation!BW12</f>
        <v>216</v>
      </c>
      <c r="CD46" s="82">
        <f>+Valuation!BX12</f>
        <v>208</v>
      </c>
      <c r="CE46" s="57">
        <f>+Valuation!BY12</f>
        <v>274</v>
      </c>
      <c r="CF46" s="57">
        <f>+Valuation!BZ12</f>
        <v>268</v>
      </c>
      <c r="CI46" s="82">
        <f>+Valuation!CC12</f>
        <v>314</v>
      </c>
      <c r="CJ46" s="82">
        <f>+Valuation!CD12</f>
        <v>374</v>
      </c>
      <c r="CK46" s="57">
        <v>325</v>
      </c>
      <c r="CL46" s="57">
        <v>332</v>
      </c>
      <c r="CM46" s="11"/>
    </row>
    <row r="47" spans="1:91">
      <c r="BG47" s="97"/>
      <c r="BH47" s="97"/>
      <c r="BK47" s="97"/>
      <c r="BL47" s="97"/>
    </row>
    <row r="48" spans="1:91">
      <c r="AN48" s="13"/>
      <c r="AT48" s="13"/>
      <c r="AY48" s="13"/>
      <c r="AZ48" s="13"/>
      <c r="BA48" s="13"/>
      <c r="BB48" s="13"/>
      <c r="BE48" s="13"/>
      <c r="BF48" s="13"/>
      <c r="BG48" s="97"/>
      <c r="BH48" s="97"/>
      <c r="BK48" s="97"/>
      <c r="BL48" s="97"/>
      <c r="BM48" s="97"/>
      <c r="BN48" s="13"/>
    </row>
    <row r="49" spans="40:66">
      <c r="AT49" s="13"/>
      <c r="AY49" s="94"/>
      <c r="AZ49" s="94"/>
      <c r="BA49" s="94"/>
      <c r="BB49" s="94"/>
      <c r="BE49" s="94"/>
      <c r="BF49" s="94"/>
      <c r="BG49" s="94"/>
      <c r="BH49" s="94"/>
      <c r="BK49" s="98"/>
      <c r="BL49" s="98"/>
      <c r="BM49" s="98"/>
      <c r="BN49" s="94"/>
    </row>
    <row r="50" spans="40:66">
      <c r="AN50" s="29"/>
      <c r="AT50" s="29"/>
      <c r="AZ50" s="29"/>
    </row>
  </sheetData>
  <mergeCells count="30">
    <mergeCell ref="C1:G1"/>
    <mergeCell ref="AG2:AK2"/>
    <mergeCell ref="C2:G2"/>
    <mergeCell ref="I2:M2"/>
    <mergeCell ref="U1:Y1"/>
    <mergeCell ref="AG1:AK1"/>
    <mergeCell ref="AA2:AE2"/>
    <mergeCell ref="AA1:AE1"/>
    <mergeCell ref="I1:M1"/>
    <mergeCell ref="O1:S1"/>
    <mergeCell ref="AS2:AW2"/>
    <mergeCell ref="AM1:AQ1"/>
    <mergeCell ref="O2:S2"/>
    <mergeCell ref="U2:Y2"/>
    <mergeCell ref="AM2:AQ2"/>
    <mergeCell ref="AS1:AW1"/>
    <mergeCell ref="AY2:BC2"/>
    <mergeCell ref="BE2:BI2"/>
    <mergeCell ref="AY1:BC1"/>
    <mergeCell ref="BQ1:BU1"/>
    <mergeCell ref="BQ2:BU2"/>
    <mergeCell ref="BK1:BO1"/>
    <mergeCell ref="BK2:BO2"/>
    <mergeCell ref="BE1:BI1"/>
    <mergeCell ref="CI1:CM1"/>
    <mergeCell ref="CI2:CM2"/>
    <mergeCell ref="CC1:CG1"/>
    <mergeCell ref="CC2:CG2"/>
    <mergeCell ref="BW1:CA1"/>
    <mergeCell ref="BW2:CA2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7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X44"/>
  <sheetViews>
    <sheetView showGridLines="0" zoomScaleNormal="100" zoomScaleSheetLayoutView="85" workbookViewId="0">
      <pane xSplit="1" ySplit="3" topLeftCell="BF7" activePane="bottomRight" state="frozen"/>
      <selection activeCell="D13" sqref="D13:K13"/>
      <selection pane="topRight" activeCell="D13" sqref="D13:K13"/>
      <selection pane="bottomLeft" activeCell="D13" sqref="D13:K13"/>
      <selection pane="bottomRight" activeCell="D13" sqref="D13:K13"/>
    </sheetView>
  </sheetViews>
  <sheetFormatPr defaultColWidth="9.140625" defaultRowHeight="12.75"/>
  <cols>
    <col min="1" max="1" width="36.42578125" style="4" customWidth="1"/>
    <col min="2" max="2" width="4.28515625" style="9" customWidth="1"/>
    <col min="3" max="6" width="9.140625" style="4" customWidth="1"/>
    <col min="7" max="7" width="4.85546875" style="3" customWidth="1"/>
    <col min="8" max="11" width="9.140625" style="4" customWidth="1"/>
    <col min="12" max="12" width="4.7109375" style="11" customWidth="1"/>
    <col min="13" max="16" width="9.140625" style="4" customWidth="1"/>
    <col min="17" max="17" width="4.7109375" style="11" customWidth="1"/>
    <col min="18" max="21" width="9.140625" style="4" customWidth="1"/>
    <col min="22" max="22" width="4.7109375" style="11" customWidth="1"/>
    <col min="23" max="26" width="9.140625" style="4" customWidth="1"/>
    <col min="27" max="27" width="4.7109375" style="11" customWidth="1"/>
    <col min="28" max="31" width="9.140625" style="4" customWidth="1"/>
    <col min="32" max="32" width="4.7109375" style="11" customWidth="1"/>
    <col min="33" max="36" width="9.140625" style="4" customWidth="1"/>
    <col min="37" max="37" width="4.7109375" style="11" customWidth="1"/>
    <col min="38" max="41" width="9.140625" style="4" customWidth="1"/>
    <col min="42" max="42" width="4.7109375" style="11" customWidth="1"/>
    <col min="43" max="46" width="9.140625" style="4"/>
    <col min="47" max="47" width="4.7109375" style="11" customWidth="1"/>
    <col min="48" max="51" width="9.140625" style="4"/>
    <col min="52" max="52" width="2.28515625" style="4" customWidth="1"/>
    <col min="53" max="56" width="9.140625" style="4"/>
    <col min="57" max="57" width="2.28515625" style="4" customWidth="1"/>
    <col min="58" max="61" width="9.140625" style="4"/>
    <col min="62" max="62" width="2.85546875" style="4" customWidth="1"/>
    <col min="63" max="66" width="9.140625" style="4"/>
    <col min="67" max="67" width="3.140625" style="4" customWidth="1"/>
    <col min="68" max="71" width="9.140625" style="4"/>
    <col min="72" max="72" width="3.140625" style="4" customWidth="1"/>
    <col min="73" max="16384" width="9.140625" style="4"/>
  </cols>
  <sheetData>
    <row r="1" spans="1:76">
      <c r="C1" s="112" t="s">
        <v>144</v>
      </c>
      <c r="D1" s="112"/>
      <c r="E1" s="112"/>
      <c r="F1" s="112"/>
      <c r="G1" s="112"/>
      <c r="H1" s="112" t="s">
        <v>144</v>
      </c>
      <c r="I1" s="112"/>
      <c r="J1" s="112"/>
      <c r="K1" s="112"/>
      <c r="L1" s="112"/>
      <c r="M1" s="112" t="s">
        <v>144</v>
      </c>
      <c r="N1" s="112"/>
      <c r="O1" s="112"/>
      <c r="P1" s="112"/>
      <c r="Q1" s="112"/>
      <c r="R1" s="112" t="s">
        <v>144</v>
      </c>
      <c r="S1" s="112"/>
      <c r="T1" s="112"/>
      <c r="U1" s="112"/>
      <c r="V1" s="112"/>
      <c r="W1" s="112" t="s">
        <v>120</v>
      </c>
      <c r="X1" s="112"/>
      <c r="Y1" s="112"/>
      <c r="Z1" s="112"/>
      <c r="AA1" s="51"/>
      <c r="AB1" s="112" t="s">
        <v>120</v>
      </c>
      <c r="AC1" s="112"/>
      <c r="AD1" s="112"/>
      <c r="AE1" s="112"/>
      <c r="AF1" s="51"/>
      <c r="AG1" s="112" t="s">
        <v>120</v>
      </c>
      <c r="AH1" s="112"/>
      <c r="AI1" s="112"/>
      <c r="AJ1" s="112"/>
      <c r="AK1" s="51"/>
      <c r="AL1" s="112" t="s">
        <v>120</v>
      </c>
      <c r="AM1" s="112"/>
      <c r="AN1" s="112"/>
      <c r="AO1" s="112"/>
      <c r="AP1" s="51"/>
      <c r="AQ1" s="112" t="s">
        <v>120</v>
      </c>
      <c r="AR1" s="112"/>
      <c r="AS1" s="112"/>
      <c r="AT1" s="112"/>
      <c r="AU1" s="51"/>
      <c r="AV1" s="112" t="s">
        <v>120</v>
      </c>
      <c r="AW1" s="112"/>
      <c r="AX1" s="112"/>
      <c r="AY1" s="112"/>
      <c r="BA1" s="112" t="s">
        <v>120</v>
      </c>
      <c r="BB1" s="112"/>
      <c r="BC1" s="112"/>
      <c r="BD1" s="112"/>
      <c r="BF1" s="112" t="s">
        <v>120</v>
      </c>
      <c r="BG1" s="112"/>
      <c r="BH1" s="112"/>
      <c r="BI1" s="112"/>
      <c r="BK1" s="112" t="s">
        <v>120</v>
      </c>
      <c r="BL1" s="112"/>
      <c r="BM1" s="112"/>
      <c r="BN1" s="112"/>
      <c r="BP1" s="112" t="s">
        <v>120</v>
      </c>
      <c r="BQ1" s="112"/>
      <c r="BR1" s="112"/>
      <c r="BS1" s="112"/>
      <c r="BU1" s="112" t="s">
        <v>120</v>
      </c>
      <c r="BV1" s="112"/>
      <c r="BW1" s="112"/>
      <c r="BX1" s="112"/>
    </row>
    <row r="2" spans="1:76">
      <c r="A2" s="1" t="s">
        <v>46</v>
      </c>
      <c r="B2" s="2"/>
      <c r="C2" s="113">
        <v>2001</v>
      </c>
      <c r="D2" s="113"/>
      <c r="E2" s="113"/>
      <c r="F2" s="113"/>
      <c r="H2" s="113">
        <v>2002</v>
      </c>
      <c r="I2" s="113"/>
      <c r="J2" s="113"/>
      <c r="K2" s="113"/>
      <c r="L2" s="21"/>
      <c r="M2" s="113">
        <v>2003</v>
      </c>
      <c r="N2" s="113"/>
      <c r="O2" s="113"/>
      <c r="P2" s="113"/>
      <c r="Q2" s="21"/>
      <c r="R2" s="113">
        <v>2004</v>
      </c>
      <c r="S2" s="113"/>
      <c r="T2" s="113"/>
      <c r="U2" s="113"/>
      <c r="V2" s="21"/>
      <c r="W2" s="113">
        <v>2004</v>
      </c>
      <c r="X2" s="113"/>
      <c r="Y2" s="113"/>
      <c r="Z2" s="113"/>
      <c r="AA2" s="21"/>
      <c r="AB2" s="113">
        <v>2005</v>
      </c>
      <c r="AC2" s="113"/>
      <c r="AD2" s="113"/>
      <c r="AE2" s="113"/>
      <c r="AF2" s="21"/>
      <c r="AG2" s="113">
        <v>2006</v>
      </c>
      <c r="AH2" s="113"/>
      <c r="AI2" s="113"/>
      <c r="AJ2" s="113"/>
      <c r="AK2" s="21"/>
      <c r="AL2" s="113">
        <v>2007</v>
      </c>
      <c r="AM2" s="113"/>
      <c r="AN2" s="113"/>
      <c r="AO2" s="113"/>
      <c r="AP2" s="21"/>
      <c r="AQ2" s="113">
        <v>2008</v>
      </c>
      <c r="AR2" s="113"/>
      <c r="AS2" s="113"/>
      <c r="AT2" s="113"/>
      <c r="AU2" s="21"/>
      <c r="AV2" s="113">
        <v>2009</v>
      </c>
      <c r="AW2" s="113"/>
      <c r="AX2" s="113"/>
      <c r="AY2" s="113"/>
      <c r="BA2" s="113">
        <v>2010</v>
      </c>
      <c r="BB2" s="113"/>
      <c r="BC2" s="113"/>
      <c r="BD2" s="113"/>
      <c r="BF2" s="113">
        <v>2011</v>
      </c>
      <c r="BG2" s="113"/>
      <c r="BH2" s="113"/>
      <c r="BI2" s="113"/>
      <c r="BK2" s="113">
        <v>2012</v>
      </c>
      <c r="BL2" s="113"/>
      <c r="BM2" s="113"/>
      <c r="BN2" s="113"/>
      <c r="BP2" s="113">
        <v>2013</v>
      </c>
      <c r="BQ2" s="113"/>
      <c r="BR2" s="113"/>
      <c r="BS2" s="113"/>
      <c r="BU2" s="113">
        <v>2014</v>
      </c>
      <c r="BV2" s="113"/>
      <c r="BW2" s="113"/>
      <c r="BX2" s="113"/>
    </row>
    <row r="3" spans="1:76">
      <c r="A3" s="5" t="s">
        <v>208</v>
      </c>
      <c r="B3" s="6"/>
      <c r="C3" s="103" t="s">
        <v>10</v>
      </c>
      <c r="D3" s="103" t="s">
        <v>11</v>
      </c>
      <c r="E3" s="103" t="s">
        <v>12</v>
      </c>
      <c r="F3" s="103" t="s">
        <v>13</v>
      </c>
      <c r="G3" s="8"/>
      <c r="H3" s="103" t="s">
        <v>10</v>
      </c>
      <c r="I3" s="103" t="s">
        <v>11</v>
      </c>
      <c r="J3" s="103" t="s">
        <v>12</v>
      </c>
      <c r="K3" s="103" t="s">
        <v>13</v>
      </c>
      <c r="L3" s="22"/>
      <c r="M3" s="103" t="s">
        <v>10</v>
      </c>
      <c r="N3" s="103" t="s">
        <v>11</v>
      </c>
      <c r="O3" s="103" t="s">
        <v>12</v>
      </c>
      <c r="P3" s="103" t="s">
        <v>13</v>
      </c>
      <c r="Q3" s="22"/>
      <c r="R3" s="103" t="s">
        <v>10</v>
      </c>
      <c r="S3" s="103" t="s">
        <v>11</v>
      </c>
      <c r="T3" s="103" t="s">
        <v>12</v>
      </c>
      <c r="U3" s="103" t="s">
        <v>13</v>
      </c>
      <c r="V3" s="22"/>
      <c r="W3" s="103" t="s">
        <v>10</v>
      </c>
      <c r="X3" s="103" t="s">
        <v>11</v>
      </c>
      <c r="Y3" s="103" t="s">
        <v>12</v>
      </c>
      <c r="Z3" s="103" t="s">
        <v>13</v>
      </c>
      <c r="AA3" s="22"/>
      <c r="AB3" s="103" t="s">
        <v>10</v>
      </c>
      <c r="AC3" s="103" t="s">
        <v>11</v>
      </c>
      <c r="AD3" s="103" t="s">
        <v>12</v>
      </c>
      <c r="AE3" s="103" t="s">
        <v>13</v>
      </c>
      <c r="AF3" s="22"/>
      <c r="AG3" s="103" t="s">
        <v>10</v>
      </c>
      <c r="AH3" s="103" t="s">
        <v>11</v>
      </c>
      <c r="AI3" s="103" t="s">
        <v>12</v>
      </c>
      <c r="AJ3" s="103" t="s">
        <v>13</v>
      </c>
      <c r="AK3" s="22"/>
      <c r="AL3" s="103" t="s">
        <v>10</v>
      </c>
      <c r="AM3" s="103" t="s">
        <v>11</v>
      </c>
      <c r="AN3" s="103" t="s">
        <v>12</v>
      </c>
      <c r="AO3" s="103" t="s">
        <v>13</v>
      </c>
      <c r="AP3" s="22"/>
      <c r="AQ3" s="103" t="s">
        <v>10</v>
      </c>
      <c r="AR3" s="103" t="s">
        <v>11</v>
      </c>
      <c r="AS3" s="103" t="s">
        <v>12</v>
      </c>
      <c r="AT3" s="103" t="s">
        <v>13</v>
      </c>
      <c r="AU3" s="22"/>
      <c r="AV3" s="103" t="s">
        <v>10</v>
      </c>
      <c r="AW3" s="103" t="s">
        <v>11</v>
      </c>
      <c r="AX3" s="103" t="s">
        <v>12</v>
      </c>
      <c r="AY3" s="103" t="s">
        <v>13</v>
      </c>
      <c r="BA3" s="103" t="s">
        <v>10</v>
      </c>
      <c r="BB3" s="103" t="s">
        <v>11</v>
      </c>
      <c r="BC3" s="103" t="s">
        <v>12</v>
      </c>
      <c r="BD3" s="103" t="s">
        <v>13</v>
      </c>
      <c r="BF3" s="103" t="s">
        <v>10</v>
      </c>
      <c r="BG3" s="103" t="s">
        <v>11</v>
      </c>
      <c r="BH3" s="103" t="s">
        <v>12</v>
      </c>
      <c r="BI3" s="103" t="s">
        <v>13</v>
      </c>
      <c r="BK3" s="103" t="s">
        <v>10</v>
      </c>
      <c r="BL3" s="103" t="s">
        <v>11</v>
      </c>
      <c r="BM3" s="103" t="s">
        <v>12</v>
      </c>
      <c r="BN3" s="103" t="s">
        <v>13</v>
      </c>
      <c r="BP3" s="103" t="s">
        <v>10</v>
      </c>
      <c r="BQ3" s="103" t="s">
        <v>11</v>
      </c>
      <c r="BR3" s="103" t="s">
        <v>12</v>
      </c>
      <c r="BS3" s="103" t="s">
        <v>13</v>
      </c>
      <c r="BU3" s="103" t="s">
        <v>10</v>
      </c>
      <c r="BV3" s="103" t="s">
        <v>11</v>
      </c>
      <c r="BW3" s="103" t="s">
        <v>12</v>
      </c>
      <c r="BX3" s="103" t="s">
        <v>13</v>
      </c>
    </row>
    <row r="5" spans="1:76">
      <c r="A5" s="23" t="s">
        <v>26</v>
      </c>
    </row>
    <row r="6" spans="1:76">
      <c r="A6" s="4" t="s">
        <v>126</v>
      </c>
      <c r="C6" s="13">
        <v>844</v>
      </c>
      <c r="D6" s="13">
        <v>879</v>
      </c>
      <c r="E6" s="13">
        <v>816</v>
      </c>
      <c r="F6" s="13">
        <v>821</v>
      </c>
      <c r="G6" s="15"/>
      <c r="H6" s="13">
        <v>838</v>
      </c>
      <c r="I6" s="13">
        <v>778</v>
      </c>
      <c r="J6" s="13">
        <v>785</v>
      </c>
      <c r="K6" s="13">
        <v>706</v>
      </c>
      <c r="M6" s="13">
        <v>686</v>
      </c>
      <c r="N6" s="13">
        <v>661</v>
      </c>
      <c r="O6" s="13">
        <v>659</v>
      </c>
      <c r="P6" s="13">
        <v>651</v>
      </c>
      <c r="R6" s="13">
        <v>683</v>
      </c>
      <c r="S6" s="13">
        <v>1125</v>
      </c>
      <c r="T6" s="13">
        <v>1124</v>
      </c>
      <c r="U6" s="13">
        <v>1040</v>
      </c>
      <c r="W6" s="13">
        <v>681</v>
      </c>
      <c r="X6" s="13">
        <v>963</v>
      </c>
      <c r="Y6" s="13">
        <v>984</v>
      </c>
      <c r="Z6" s="13">
        <v>928</v>
      </c>
      <c r="AB6" s="13">
        <v>1006</v>
      </c>
      <c r="AC6" s="13">
        <v>1037</v>
      </c>
      <c r="AD6" s="13">
        <v>1043</v>
      </c>
      <c r="AE6" s="13">
        <v>1011</v>
      </c>
      <c r="AG6" s="13">
        <v>1013</v>
      </c>
      <c r="AH6" s="13">
        <v>989</v>
      </c>
      <c r="AI6" s="13">
        <v>995</v>
      </c>
      <c r="AJ6" s="13">
        <v>820</v>
      </c>
      <c r="AL6" s="13">
        <v>1165</v>
      </c>
      <c r="AM6" s="13">
        <v>1234</v>
      </c>
      <c r="AN6" s="13">
        <v>1331</v>
      </c>
      <c r="AO6" s="13">
        <v>1387</v>
      </c>
      <c r="AQ6" s="13">
        <v>1432</v>
      </c>
      <c r="AR6" s="13">
        <v>1506</v>
      </c>
      <c r="AS6" s="13">
        <v>1585</v>
      </c>
      <c r="AT6" s="13">
        <v>1585</v>
      </c>
      <c r="AV6" s="13">
        <v>1642</v>
      </c>
      <c r="AW6" s="13">
        <v>1605</v>
      </c>
      <c r="AX6" s="13">
        <v>1591</v>
      </c>
      <c r="AY6" s="13">
        <v>1621</v>
      </c>
      <c r="BA6" s="13">
        <v>1681</v>
      </c>
      <c r="BB6" s="13">
        <v>1806</v>
      </c>
      <c r="BC6" s="13">
        <v>1714</v>
      </c>
      <c r="BD6" s="13">
        <v>1767</v>
      </c>
      <c r="BF6" s="13">
        <v>1803</v>
      </c>
      <c r="BG6" s="13">
        <v>1811</v>
      </c>
      <c r="BH6" s="13">
        <v>1911</v>
      </c>
      <c r="BI6" s="13">
        <v>1988</v>
      </c>
      <c r="BK6" s="13">
        <v>1963</v>
      </c>
      <c r="BL6" s="13">
        <v>2029</v>
      </c>
      <c r="BM6" s="13">
        <v>2020</v>
      </c>
      <c r="BN6" s="13">
        <v>2008</v>
      </c>
      <c r="BP6" s="13">
        <v>2037</v>
      </c>
      <c r="BQ6" s="13">
        <v>2017</v>
      </c>
      <c r="BR6" s="13">
        <v>2014</v>
      </c>
      <c r="BS6" s="13">
        <v>2001</v>
      </c>
      <c r="BU6" s="13">
        <v>2020</v>
      </c>
      <c r="BV6" s="13">
        <v>2038</v>
      </c>
      <c r="BW6" s="13">
        <v>2132</v>
      </c>
      <c r="BX6" s="13">
        <v>2175</v>
      </c>
    </row>
    <row r="7" spans="1:76">
      <c r="A7" s="4" t="s">
        <v>127</v>
      </c>
      <c r="C7" s="13">
        <v>2130</v>
      </c>
      <c r="D7" s="13">
        <v>2136</v>
      </c>
      <c r="E7" s="13">
        <v>2046</v>
      </c>
      <c r="F7" s="13">
        <v>2056</v>
      </c>
      <c r="G7" s="15"/>
      <c r="H7" s="13">
        <v>1977</v>
      </c>
      <c r="I7" s="13">
        <v>1914</v>
      </c>
      <c r="J7" s="13">
        <v>1844</v>
      </c>
      <c r="K7" s="13">
        <v>1137</v>
      </c>
      <c r="M7" s="13">
        <v>1108</v>
      </c>
      <c r="N7" s="13">
        <v>1087</v>
      </c>
      <c r="O7" s="13">
        <v>1072</v>
      </c>
      <c r="P7" s="13">
        <v>1029</v>
      </c>
      <c r="R7" s="13">
        <v>1027</v>
      </c>
      <c r="S7" s="13">
        <v>1218</v>
      </c>
      <c r="T7" s="13">
        <v>1057</v>
      </c>
      <c r="U7" s="13">
        <v>1009</v>
      </c>
      <c r="W7" s="13">
        <v>802</v>
      </c>
      <c r="X7" s="13">
        <v>997</v>
      </c>
      <c r="Y7" s="13">
        <v>842</v>
      </c>
      <c r="Z7" s="13">
        <v>800</v>
      </c>
      <c r="AB7" s="13">
        <v>769</v>
      </c>
      <c r="AC7" s="13">
        <v>779</v>
      </c>
      <c r="AD7" s="13">
        <v>805</v>
      </c>
      <c r="AE7" s="13">
        <v>805</v>
      </c>
      <c r="AG7" s="13">
        <v>841</v>
      </c>
      <c r="AH7" s="13">
        <v>750</v>
      </c>
      <c r="AI7" s="13">
        <v>767</v>
      </c>
      <c r="AJ7" s="13">
        <v>809</v>
      </c>
      <c r="AL7" s="13">
        <v>1057</v>
      </c>
      <c r="AM7" s="13">
        <v>1119</v>
      </c>
      <c r="AN7" s="13">
        <v>1414</v>
      </c>
      <c r="AO7" s="13">
        <v>1508</v>
      </c>
      <c r="AQ7" s="13">
        <v>1594</v>
      </c>
      <c r="AR7" s="13">
        <v>1754</v>
      </c>
      <c r="AS7" s="13">
        <v>1874</v>
      </c>
      <c r="AT7" s="13">
        <v>2009</v>
      </c>
      <c r="AV7" s="13">
        <v>2105</v>
      </c>
      <c r="AW7" s="13">
        <v>2343</v>
      </c>
      <c r="AX7" s="13">
        <v>2548</v>
      </c>
      <c r="AY7" s="13">
        <v>2667</v>
      </c>
      <c r="BA7" s="13">
        <v>2955</v>
      </c>
      <c r="BB7" s="13">
        <v>3057</v>
      </c>
      <c r="BC7" s="13">
        <v>3127</v>
      </c>
      <c r="BD7" s="13">
        <v>3225</v>
      </c>
      <c r="BF7" s="13">
        <v>3230</v>
      </c>
      <c r="BG7" s="13">
        <v>3263</v>
      </c>
      <c r="BH7" s="13">
        <v>3291</v>
      </c>
      <c r="BI7" s="13">
        <v>3260</v>
      </c>
      <c r="BK7" s="13">
        <v>3282</v>
      </c>
      <c r="BL7" s="13">
        <v>3256</v>
      </c>
      <c r="BM7" s="13">
        <v>3243</v>
      </c>
      <c r="BN7" s="13">
        <v>3252</v>
      </c>
      <c r="BP7" s="13">
        <v>3228</v>
      </c>
      <c r="BQ7" s="13">
        <v>3186</v>
      </c>
      <c r="BR7" s="13">
        <v>3174</v>
      </c>
      <c r="BS7" s="13">
        <v>3138</v>
      </c>
      <c r="BU7" s="13">
        <v>3087</v>
      </c>
      <c r="BV7" s="13">
        <v>3050</v>
      </c>
      <c r="BW7" s="13">
        <v>3075</v>
      </c>
      <c r="BX7" s="13">
        <v>3035</v>
      </c>
    </row>
    <row r="8" spans="1:76">
      <c r="A8" s="4" t="s">
        <v>128</v>
      </c>
      <c r="C8" s="13">
        <v>46</v>
      </c>
      <c r="D8" s="13">
        <v>46</v>
      </c>
      <c r="E8" s="13">
        <v>45</v>
      </c>
      <c r="F8" s="13">
        <v>45</v>
      </c>
      <c r="G8" s="15"/>
      <c r="H8" s="13">
        <v>43</v>
      </c>
      <c r="I8" s="13">
        <v>43</v>
      </c>
      <c r="J8" s="13">
        <v>42</v>
      </c>
      <c r="K8" s="13">
        <v>166</v>
      </c>
      <c r="M8" s="13">
        <v>165</v>
      </c>
      <c r="N8" s="13">
        <v>158</v>
      </c>
      <c r="O8" s="13">
        <v>157</v>
      </c>
      <c r="P8" s="13">
        <v>201</v>
      </c>
      <c r="R8" s="13">
        <v>201</v>
      </c>
      <c r="S8" s="13">
        <v>214</v>
      </c>
      <c r="T8" s="13">
        <v>211</v>
      </c>
      <c r="U8" s="13">
        <v>347</v>
      </c>
      <c r="W8" s="13">
        <v>290</v>
      </c>
      <c r="X8" s="13">
        <v>355</v>
      </c>
      <c r="Y8" s="13">
        <v>344</v>
      </c>
      <c r="Z8" s="13">
        <v>454</v>
      </c>
      <c r="AB8" s="13">
        <v>404</v>
      </c>
      <c r="AC8" s="13">
        <v>393</v>
      </c>
      <c r="AD8" s="13">
        <v>377</v>
      </c>
      <c r="AE8" s="13">
        <v>395</v>
      </c>
      <c r="AG8" s="13">
        <v>412</v>
      </c>
      <c r="AH8" s="13">
        <v>421</v>
      </c>
      <c r="AI8" s="13">
        <v>409</v>
      </c>
      <c r="AJ8" s="13">
        <v>556</v>
      </c>
      <c r="AL8" s="13">
        <v>547</v>
      </c>
      <c r="AM8" s="13">
        <v>557</v>
      </c>
      <c r="AN8" s="13">
        <v>605</v>
      </c>
      <c r="AO8" s="13">
        <v>541</v>
      </c>
      <c r="AQ8" s="13">
        <v>577</v>
      </c>
      <c r="AR8" s="13">
        <v>669</v>
      </c>
      <c r="AS8" s="13">
        <v>719</v>
      </c>
      <c r="AT8" s="13">
        <v>728</v>
      </c>
      <c r="AV8" s="13">
        <v>767</v>
      </c>
      <c r="AW8" s="13">
        <v>808</v>
      </c>
      <c r="AX8" s="13">
        <v>843</v>
      </c>
      <c r="AY8" s="13">
        <v>884</v>
      </c>
      <c r="BA8" s="13">
        <v>901</v>
      </c>
      <c r="BB8" s="13">
        <v>853</v>
      </c>
      <c r="BC8" s="13">
        <v>838</v>
      </c>
      <c r="BD8" s="13">
        <v>972</v>
      </c>
      <c r="BF8" s="13">
        <v>981</v>
      </c>
      <c r="BG8" s="13">
        <v>991</v>
      </c>
      <c r="BH8" s="13">
        <v>1070</v>
      </c>
      <c r="BI8" s="13">
        <v>1270</v>
      </c>
      <c r="BK8" s="13">
        <v>664</v>
      </c>
      <c r="BL8" s="13">
        <v>674</v>
      </c>
      <c r="BM8" s="13">
        <v>654</v>
      </c>
      <c r="BN8" s="13">
        <v>779</v>
      </c>
      <c r="BP8" s="13">
        <v>800</v>
      </c>
      <c r="BQ8" s="13">
        <v>774</v>
      </c>
      <c r="BR8" s="13">
        <v>716</v>
      </c>
      <c r="BS8" s="13">
        <v>769</v>
      </c>
      <c r="BU8" s="13">
        <v>674</v>
      </c>
      <c r="BV8" s="13">
        <v>761</v>
      </c>
      <c r="BW8" s="13">
        <v>800</v>
      </c>
      <c r="BX8" s="13">
        <v>759</v>
      </c>
    </row>
    <row r="9" spans="1:76">
      <c r="A9" s="4" t="s">
        <v>129</v>
      </c>
      <c r="C9" s="25">
        <f>SUM(C6:C8)</f>
        <v>3020</v>
      </c>
      <c r="D9" s="25">
        <f>SUM(D6:D8)</f>
        <v>3061</v>
      </c>
      <c r="E9" s="25">
        <f>SUM(E6:E8)</f>
        <v>2907</v>
      </c>
      <c r="F9" s="25">
        <f>SUM(F6:F8)</f>
        <v>2922</v>
      </c>
      <c r="G9" s="15"/>
      <c r="H9" s="25">
        <f>SUM(H6:H8)</f>
        <v>2858</v>
      </c>
      <c r="I9" s="25">
        <f>SUM(I6:I8)</f>
        <v>2735</v>
      </c>
      <c r="J9" s="25">
        <f>SUM(J6:J8)</f>
        <v>2671</v>
      </c>
      <c r="K9" s="25">
        <f>SUM(K6:K8)</f>
        <v>2009</v>
      </c>
      <c r="M9" s="25">
        <f>SUM(M6:M8)</f>
        <v>1959</v>
      </c>
      <c r="N9" s="25">
        <f>SUM(N6:N8)</f>
        <v>1906</v>
      </c>
      <c r="O9" s="25">
        <f>SUM(O6:O8)</f>
        <v>1888</v>
      </c>
      <c r="P9" s="25">
        <f>SUM(P6:P8)</f>
        <v>1881</v>
      </c>
      <c r="R9" s="25">
        <f>SUM(R6:R8)</f>
        <v>1911</v>
      </c>
      <c r="S9" s="25">
        <f>SUM(S6:S8)</f>
        <v>2557</v>
      </c>
      <c r="T9" s="25">
        <f>SUM(T6:T8)</f>
        <v>2392</v>
      </c>
      <c r="U9" s="25">
        <f>SUM(U6:U8)</f>
        <v>2396</v>
      </c>
      <c r="W9" s="25">
        <f>SUM(W6:W8)</f>
        <v>1773</v>
      </c>
      <c r="X9" s="25">
        <f>SUM(X6:X8)</f>
        <v>2315</v>
      </c>
      <c r="Y9" s="25">
        <f>SUM(Y6:Y8)</f>
        <v>2170</v>
      </c>
      <c r="Z9" s="25">
        <f>SUM(Z6:Z8)</f>
        <v>2182</v>
      </c>
      <c r="AB9" s="25">
        <f>SUM(AB6:AB8)</f>
        <v>2179</v>
      </c>
      <c r="AC9" s="25">
        <f>SUM(AC6:AC8)</f>
        <v>2209</v>
      </c>
      <c r="AD9" s="25">
        <f>SUM(AD6:AD8)</f>
        <v>2225</v>
      </c>
      <c r="AE9" s="25">
        <f>SUM(AE6:AE8)</f>
        <v>2211</v>
      </c>
      <c r="AG9" s="25">
        <f>SUM(AG6:AG8)</f>
        <v>2266</v>
      </c>
      <c r="AH9" s="25">
        <f>SUM(AH6:AH8)</f>
        <v>2160</v>
      </c>
      <c r="AI9" s="25">
        <f>SUM(AI6:AI8)</f>
        <v>2171</v>
      </c>
      <c r="AJ9" s="25">
        <f>SUM(AJ6:AJ8)</f>
        <v>2185</v>
      </c>
      <c r="AL9" s="25">
        <f>SUM(AL6:AL8)</f>
        <v>2769</v>
      </c>
      <c r="AM9" s="25">
        <f>SUM(AM6:AM8)</f>
        <v>2910</v>
      </c>
      <c r="AN9" s="25">
        <f>SUM(AN6:AN8)</f>
        <v>3350</v>
      </c>
      <c r="AO9" s="25">
        <f>SUM(AO6:AO8)</f>
        <v>3436</v>
      </c>
      <c r="AQ9" s="25">
        <f>SUM(AQ6:AQ8)</f>
        <v>3603</v>
      </c>
      <c r="AR9" s="25">
        <f>SUM(AR6:AR8)</f>
        <v>3929</v>
      </c>
      <c r="AS9" s="25">
        <f>SUM(AS6:AS8)</f>
        <v>4178</v>
      </c>
      <c r="AT9" s="25">
        <f>SUM(AT6:AT8)</f>
        <v>4322</v>
      </c>
      <c r="AV9" s="25">
        <f>SUM(AV6:AV8)</f>
        <v>4514</v>
      </c>
      <c r="AW9" s="25">
        <f>SUM(AW6:AW8)</f>
        <v>4756</v>
      </c>
      <c r="AX9" s="25">
        <f>SUM(AX6:AX8)</f>
        <v>4982</v>
      </c>
      <c r="AY9" s="25">
        <f>SUM(AY6:AY8)</f>
        <v>5172</v>
      </c>
      <c r="BA9" s="25">
        <f>SUM(BA6:BA8)</f>
        <v>5537</v>
      </c>
      <c r="BB9" s="25">
        <f>SUM(BB6:BB8)</f>
        <v>5716</v>
      </c>
      <c r="BC9" s="25">
        <f>SUM(BC6:BC8)</f>
        <v>5679</v>
      </c>
      <c r="BD9" s="25">
        <f>SUM(BD6:BD8)</f>
        <v>5964</v>
      </c>
      <c r="BF9" s="25">
        <f>SUM(BF6:BF8)</f>
        <v>6014</v>
      </c>
      <c r="BG9" s="25">
        <f>SUM(BG6:BG8)</f>
        <v>6065</v>
      </c>
      <c r="BH9" s="25">
        <f>SUM(BH6:BH8)</f>
        <v>6272</v>
      </c>
      <c r="BI9" s="25">
        <f>SUM(BI6:BI8)</f>
        <v>6518</v>
      </c>
      <c r="BK9" s="25">
        <f>SUM(BK6:BK8)</f>
        <v>5909</v>
      </c>
      <c r="BL9" s="25">
        <f>SUM(BL6:BL8)</f>
        <v>5959</v>
      </c>
      <c r="BM9" s="25">
        <f>SUM(BM6:BM8)</f>
        <v>5917</v>
      </c>
      <c r="BN9" s="25">
        <f>SUM(BN6:BN8)</f>
        <v>6039</v>
      </c>
      <c r="BP9" s="25">
        <f>SUM(BP6:BP8)</f>
        <v>6065</v>
      </c>
      <c r="BQ9" s="25">
        <f>SUM(BQ6:BQ8)</f>
        <v>5977</v>
      </c>
      <c r="BR9" s="25">
        <f>SUM(BR6:BR8)</f>
        <v>5904</v>
      </c>
      <c r="BS9" s="25">
        <f>SUM(BS6:BS8)</f>
        <v>5908</v>
      </c>
      <c r="BU9" s="25">
        <f>SUM(BU6:BU8)</f>
        <v>5781</v>
      </c>
      <c r="BV9" s="25">
        <f>SUM(BV6:BV8)</f>
        <v>5849</v>
      </c>
      <c r="BW9" s="25">
        <f>SUM(BW6:BW8)</f>
        <v>6007</v>
      </c>
      <c r="BX9" s="25">
        <f>SUM(BX6:BX8)</f>
        <v>5969</v>
      </c>
    </row>
    <row r="10" spans="1:76">
      <c r="C10" s="13"/>
      <c r="D10" s="13"/>
      <c r="E10" s="13"/>
      <c r="F10" s="13"/>
      <c r="G10" s="15"/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13"/>
      <c r="AB10" s="13"/>
      <c r="AC10" s="13"/>
      <c r="AD10" s="13"/>
      <c r="AE10" s="13"/>
      <c r="AG10" s="13"/>
      <c r="AH10" s="13"/>
      <c r="AI10" s="13"/>
      <c r="AJ10" s="13"/>
      <c r="AL10" s="13"/>
      <c r="AM10" s="13"/>
      <c r="AN10" s="13"/>
      <c r="AO10" s="13"/>
      <c r="AQ10" s="13"/>
      <c r="AR10" s="13"/>
      <c r="AS10" s="13"/>
      <c r="AT10" s="13"/>
      <c r="AV10" s="13"/>
      <c r="AW10" s="13"/>
      <c r="AX10" s="13"/>
      <c r="AY10" s="13"/>
      <c r="BA10" s="13"/>
      <c r="BB10" s="13"/>
      <c r="BC10" s="13"/>
      <c r="BD10" s="13"/>
      <c r="BF10" s="13"/>
      <c r="BG10" s="13"/>
      <c r="BH10" s="13"/>
      <c r="BI10" s="13"/>
      <c r="BK10" s="13"/>
      <c r="BL10" s="13"/>
      <c r="BM10" s="13"/>
      <c r="BN10" s="13"/>
      <c r="BP10" s="13"/>
      <c r="BQ10" s="13"/>
      <c r="BR10" s="13"/>
      <c r="BS10" s="13"/>
      <c r="BU10" s="13"/>
      <c r="BV10" s="13"/>
      <c r="BW10" s="13"/>
      <c r="BX10" s="13"/>
    </row>
    <row r="11" spans="1:76">
      <c r="A11" s="4" t="s">
        <v>130</v>
      </c>
      <c r="C11" s="13">
        <v>1513</v>
      </c>
      <c r="D11" s="13">
        <v>1453</v>
      </c>
      <c r="E11" s="13">
        <v>1329</v>
      </c>
      <c r="F11" s="13">
        <v>1199</v>
      </c>
      <c r="G11" s="15"/>
      <c r="H11" s="13">
        <v>1229</v>
      </c>
      <c r="I11" s="13">
        <v>1172</v>
      </c>
      <c r="J11" s="13">
        <v>1084</v>
      </c>
      <c r="K11" s="13">
        <v>1038</v>
      </c>
      <c r="M11" s="13">
        <v>1112</v>
      </c>
      <c r="N11" s="13">
        <v>1080</v>
      </c>
      <c r="O11" s="13">
        <v>1041</v>
      </c>
      <c r="P11" s="13">
        <v>993</v>
      </c>
      <c r="R11" s="13">
        <v>1127</v>
      </c>
      <c r="S11" s="13">
        <v>1575</v>
      </c>
      <c r="T11" s="13">
        <v>1515</v>
      </c>
      <c r="U11" s="13">
        <v>1465</v>
      </c>
      <c r="W11" s="13">
        <v>1047</v>
      </c>
      <c r="X11" s="13">
        <v>1496</v>
      </c>
      <c r="Y11" s="13">
        <v>1432</v>
      </c>
      <c r="Z11" s="13">
        <v>1373</v>
      </c>
      <c r="AB11" s="13">
        <v>1503</v>
      </c>
      <c r="AC11" s="13">
        <v>1515</v>
      </c>
      <c r="AD11" s="13">
        <v>1557</v>
      </c>
      <c r="AE11" s="13">
        <v>1624</v>
      </c>
      <c r="AG11" s="13">
        <v>1788</v>
      </c>
      <c r="AH11" s="13">
        <v>1909</v>
      </c>
      <c r="AI11" s="13">
        <v>2036</v>
      </c>
      <c r="AJ11" s="13">
        <v>1894</v>
      </c>
      <c r="AL11" s="13">
        <v>2222</v>
      </c>
      <c r="AM11" s="13">
        <v>2352</v>
      </c>
      <c r="AN11" s="13">
        <v>2553</v>
      </c>
      <c r="AO11" s="13">
        <v>2287</v>
      </c>
      <c r="AQ11" s="13">
        <v>2642</v>
      </c>
      <c r="AR11" s="13">
        <v>2693</v>
      </c>
      <c r="AS11" s="13">
        <v>2721</v>
      </c>
      <c r="AT11" s="13">
        <v>2228</v>
      </c>
      <c r="AV11" s="13">
        <v>2320</v>
      </c>
      <c r="AW11" s="13">
        <v>2150</v>
      </c>
      <c r="AX11" s="13">
        <v>2108</v>
      </c>
      <c r="AY11" s="13">
        <v>2195</v>
      </c>
      <c r="BA11" s="13">
        <v>2545</v>
      </c>
      <c r="BB11" s="13">
        <v>2855</v>
      </c>
      <c r="BC11" s="13">
        <v>2897</v>
      </c>
      <c r="BD11" s="13">
        <v>2840</v>
      </c>
      <c r="BF11" s="13">
        <v>3410</v>
      </c>
      <c r="BG11" s="13">
        <v>3232</v>
      </c>
      <c r="BH11" s="13">
        <v>3333</v>
      </c>
      <c r="BI11" s="13">
        <v>2889</v>
      </c>
      <c r="BK11" s="13">
        <v>3325</v>
      </c>
      <c r="BL11" s="13">
        <v>3269</v>
      </c>
      <c r="BM11" s="13">
        <v>3273</v>
      </c>
      <c r="BN11" s="13">
        <v>2744</v>
      </c>
      <c r="BP11" s="13">
        <v>3397</v>
      </c>
      <c r="BQ11" s="13">
        <v>3021</v>
      </c>
      <c r="BR11" s="13">
        <v>2973</v>
      </c>
      <c r="BS11" s="13">
        <v>2657</v>
      </c>
      <c r="BU11" s="13">
        <v>2848</v>
      </c>
      <c r="BV11" s="13">
        <v>2768</v>
      </c>
      <c r="BW11" s="13">
        <v>2891</v>
      </c>
      <c r="BX11" s="13">
        <v>2612</v>
      </c>
    </row>
    <row r="12" spans="1:76">
      <c r="A12" s="4" t="s">
        <v>28</v>
      </c>
      <c r="C12" s="13">
        <v>1426</v>
      </c>
      <c r="D12" s="13">
        <v>1480</v>
      </c>
      <c r="E12" s="13">
        <v>1517</v>
      </c>
      <c r="F12" s="13">
        <v>1292</v>
      </c>
      <c r="G12" s="15"/>
      <c r="H12" s="13">
        <v>1269</v>
      </c>
      <c r="I12" s="13">
        <v>1302</v>
      </c>
      <c r="J12" s="13">
        <v>1284</v>
      </c>
      <c r="K12" s="13">
        <v>1120</v>
      </c>
      <c r="M12" s="13">
        <v>1116</v>
      </c>
      <c r="N12" s="13">
        <v>1234</v>
      </c>
      <c r="O12" s="13">
        <v>1233</v>
      </c>
      <c r="P12" s="13">
        <v>1096</v>
      </c>
      <c r="R12" s="13">
        <v>1195</v>
      </c>
      <c r="S12" s="13">
        <v>1728</v>
      </c>
      <c r="T12" s="13">
        <v>1728</v>
      </c>
      <c r="U12" s="13">
        <v>1568</v>
      </c>
      <c r="W12" s="13">
        <v>1290</v>
      </c>
      <c r="X12" s="13">
        <v>1800</v>
      </c>
      <c r="Y12" s="13">
        <v>1796</v>
      </c>
      <c r="Z12" s="13">
        <v>1632</v>
      </c>
      <c r="AB12" s="13">
        <v>1850</v>
      </c>
      <c r="AC12" s="13">
        <v>2024</v>
      </c>
      <c r="AD12" s="13">
        <v>2063</v>
      </c>
      <c r="AE12" s="13">
        <v>2035</v>
      </c>
      <c r="AG12" s="13">
        <v>2214</v>
      </c>
      <c r="AH12" s="13">
        <v>2377</v>
      </c>
      <c r="AI12" s="13">
        <v>2363</v>
      </c>
      <c r="AJ12" s="13">
        <v>2205</v>
      </c>
      <c r="AL12" s="13">
        <v>2587</v>
      </c>
      <c r="AM12" s="13">
        <v>3009</v>
      </c>
      <c r="AN12" s="13">
        <v>2908</v>
      </c>
      <c r="AO12" s="13">
        <v>2819</v>
      </c>
      <c r="AQ12" s="13">
        <v>2948</v>
      </c>
      <c r="AR12" s="13">
        <v>3172</v>
      </c>
      <c r="AS12" s="13">
        <v>3004</v>
      </c>
      <c r="AT12" s="13">
        <v>2798</v>
      </c>
      <c r="AV12" s="13">
        <v>2692</v>
      </c>
      <c r="AW12" s="13">
        <v>2768</v>
      </c>
      <c r="AX12" s="13">
        <v>2789</v>
      </c>
      <c r="AY12" s="13">
        <v>2503</v>
      </c>
      <c r="BA12" s="13">
        <v>2873</v>
      </c>
      <c r="BB12" s="13">
        <v>3321</v>
      </c>
      <c r="BC12" s="13">
        <v>3562</v>
      </c>
      <c r="BD12" s="13">
        <v>3505</v>
      </c>
      <c r="BF12" s="13">
        <v>3985</v>
      </c>
      <c r="BG12" s="13">
        <v>3984</v>
      </c>
      <c r="BH12" s="13">
        <v>3796</v>
      </c>
      <c r="BI12" s="13">
        <v>3761</v>
      </c>
      <c r="BK12" s="13">
        <v>3651</v>
      </c>
      <c r="BL12" s="13">
        <v>3914</v>
      </c>
      <c r="BM12" s="13">
        <v>3738</v>
      </c>
      <c r="BN12" s="13">
        <v>3790</v>
      </c>
      <c r="BP12" s="13">
        <v>3818</v>
      </c>
      <c r="BQ12" s="13">
        <v>3956</v>
      </c>
      <c r="BR12" s="13">
        <v>4299</v>
      </c>
      <c r="BS12" s="13">
        <v>4054</v>
      </c>
      <c r="BU12" s="13">
        <v>4102</v>
      </c>
      <c r="BV12" s="13">
        <v>4140</v>
      </c>
      <c r="BW12" s="13">
        <v>4226</v>
      </c>
      <c r="BX12" s="13">
        <v>3383</v>
      </c>
    </row>
    <row r="13" spans="1:76">
      <c r="A13" s="4" t="s">
        <v>175</v>
      </c>
      <c r="C13" s="13"/>
      <c r="D13" s="13"/>
      <c r="E13" s="13"/>
      <c r="F13" s="13"/>
      <c r="G13" s="15"/>
      <c r="H13" s="13"/>
      <c r="I13" s="13"/>
      <c r="J13" s="13"/>
      <c r="K13" s="13"/>
      <c r="M13" s="13"/>
      <c r="N13" s="13"/>
      <c r="O13" s="13"/>
      <c r="P13" s="13"/>
      <c r="R13" s="13"/>
      <c r="S13" s="13"/>
      <c r="T13" s="13"/>
      <c r="U13" s="13"/>
      <c r="W13" s="13"/>
      <c r="X13" s="13"/>
      <c r="Y13" s="13"/>
      <c r="Z13" s="13"/>
      <c r="AB13" s="13"/>
      <c r="AC13" s="13"/>
      <c r="AD13" s="13"/>
      <c r="AE13" s="13"/>
      <c r="AG13" s="13"/>
      <c r="AH13" s="13"/>
      <c r="AI13" s="13"/>
      <c r="AJ13" s="13"/>
      <c r="AL13" s="13"/>
      <c r="AM13" s="13"/>
      <c r="AN13" s="13"/>
      <c r="AO13" s="13"/>
      <c r="AQ13" s="13"/>
      <c r="AR13" s="13"/>
      <c r="AS13" s="13"/>
      <c r="AT13" s="13"/>
      <c r="AV13" s="13"/>
      <c r="AW13" s="13"/>
      <c r="AX13" s="13"/>
      <c r="AY13" s="13"/>
      <c r="BA13" s="13"/>
      <c r="BB13" s="13"/>
      <c r="BC13" s="13"/>
      <c r="BD13" s="13"/>
      <c r="BF13" s="13"/>
      <c r="BG13" s="13"/>
      <c r="BH13" s="13"/>
      <c r="BI13" s="13"/>
      <c r="BK13" s="13">
        <v>571</v>
      </c>
      <c r="BL13" s="13">
        <v>0</v>
      </c>
      <c r="BM13" s="13">
        <v>0</v>
      </c>
      <c r="BN13" s="13">
        <v>0</v>
      </c>
      <c r="BP13" s="13"/>
      <c r="BQ13" s="13"/>
      <c r="BR13" s="13"/>
      <c r="BS13" s="13"/>
      <c r="BU13" s="13"/>
      <c r="BV13" s="13"/>
      <c r="BW13" s="13"/>
      <c r="BX13" s="13"/>
    </row>
    <row r="14" spans="1:76">
      <c r="A14" s="4" t="s">
        <v>29</v>
      </c>
      <c r="C14" s="13">
        <v>265</v>
      </c>
      <c r="D14" s="13">
        <v>113</v>
      </c>
      <c r="E14" s="13">
        <v>113</v>
      </c>
      <c r="F14" s="13">
        <v>113</v>
      </c>
      <c r="G14" s="15"/>
      <c r="H14" s="13">
        <v>90</v>
      </c>
      <c r="I14" s="13">
        <v>94</v>
      </c>
      <c r="J14" s="13">
        <v>92</v>
      </c>
      <c r="K14" s="13">
        <v>94</v>
      </c>
      <c r="M14" s="13">
        <v>2</v>
      </c>
      <c r="N14" s="13">
        <v>0</v>
      </c>
      <c r="O14" s="13">
        <v>0</v>
      </c>
      <c r="P14" s="13">
        <v>101</v>
      </c>
      <c r="R14" s="13">
        <v>104</v>
      </c>
      <c r="S14" s="13">
        <v>43</v>
      </c>
      <c r="T14" s="13">
        <v>40</v>
      </c>
      <c r="U14" s="13">
        <v>57</v>
      </c>
      <c r="W14" s="13">
        <v>104</v>
      </c>
      <c r="X14" s="13">
        <v>42</v>
      </c>
      <c r="Y14" s="13">
        <v>40</v>
      </c>
      <c r="Z14" s="13">
        <v>57</v>
      </c>
      <c r="AB14" s="13">
        <v>44</v>
      </c>
      <c r="AC14" s="13">
        <v>31</v>
      </c>
      <c r="AD14" s="13">
        <v>29</v>
      </c>
      <c r="AE14" s="13">
        <v>28</v>
      </c>
      <c r="AG14" s="13">
        <v>26</v>
      </c>
      <c r="AH14" s="13">
        <v>14</v>
      </c>
      <c r="AI14" s="13">
        <v>14</v>
      </c>
      <c r="AJ14" s="13">
        <v>49</v>
      </c>
      <c r="AL14" s="13">
        <v>37</v>
      </c>
      <c r="AM14" s="13">
        <v>30</v>
      </c>
      <c r="AN14" s="13">
        <v>24</v>
      </c>
      <c r="AO14" s="13">
        <v>18</v>
      </c>
      <c r="AQ14" s="13">
        <v>13</v>
      </c>
      <c r="AR14" s="13">
        <v>0</v>
      </c>
      <c r="AS14" s="13">
        <v>0</v>
      </c>
      <c r="AT14" s="13">
        <v>0</v>
      </c>
      <c r="AV14" s="13">
        <v>0</v>
      </c>
      <c r="AW14" s="13">
        <v>0</v>
      </c>
      <c r="AX14" s="13">
        <v>0</v>
      </c>
      <c r="AY14" s="13">
        <v>0</v>
      </c>
      <c r="BA14" s="13">
        <v>0</v>
      </c>
      <c r="BB14" s="13">
        <v>0</v>
      </c>
      <c r="BC14" s="13">
        <v>0</v>
      </c>
      <c r="BD14" s="13">
        <v>0</v>
      </c>
      <c r="BF14" s="13">
        <v>0</v>
      </c>
      <c r="BG14" s="13">
        <v>0</v>
      </c>
      <c r="BH14" s="13">
        <v>0</v>
      </c>
      <c r="BI14" s="13">
        <v>0</v>
      </c>
      <c r="BK14" s="13">
        <v>0</v>
      </c>
      <c r="BL14" s="13">
        <v>0</v>
      </c>
      <c r="BM14" s="13">
        <v>0</v>
      </c>
      <c r="BN14" s="13">
        <v>0</v>
      </c>
      <c r="BP14" s="13"/>
      <c r="BQ14" s="13"/>
      <c r="BR14" s="13"/>
      <c r="BS14" s="13"/>
      <c r="BU14" s="13"/>
      <c r="BV14" s="13"/>
      <c r="BW14" s="13"/>
      <c r="BX14" s="13"/>
    </row>
    <row r="15" spans="1:76">
      <c r="A15" s="4" t="s">
        <v>30</v>
      </c>
      <c r="C15" s="13">
        <v>3200</v>
      </c>
      <c r="D15" s="13">
        <v>800</v>
      </c>
      <c r="E15" s="13">
        <v>848</v>
      </c>
      <c r="F15" s="13">
        <v>920</v>
      </c>
      <c r="G15" s="15"/>
      <c r="H15" s="13">
        <v>800</v>
      </c>
      <c r="I15" s="13">
        <v>689</v>
      </c>
      <c r="J15" s="13">
        <v>864</v>
      </c>
      <c r="K15" s="13">
        <v>773</v>
      </c>
      <c r="M15" s="13">
        <v>752</v>
      </c>
      <c r="N15" s="13">
        <v>545</v>
      </c>
      <c r="O15" s="13">
        <v>524</v>
      </c>
      <c r="P15" s="13">
        <v>592</v>
      </c>
      <c r="R15" s="13">
        <v>409</v>
      </c>
      <c r="S15" s="13">
        <v>370</v>
      </c>
      <c r="T15" s="13">
        <v>418</v>
      </c>
      <c r="U15" s="13">
        <v>626</v>
      </c>
      <c r="W15" s="13">
        <v>409</v>
      </c>
      <c r="X15" s="13">
        <v>371</v>
      </c>
      <c r="Y15" s="13">
        <v>418</v>
      </c>
      <c r="Z15" s="13">
        <v>625</v>
      </c>
      <c r="AB15" s="13">
        <v>346</v>
      </c>
      <c r="AC15" s="13">
        <v>252</v>
      </c>
      <c r="AD15" s="13">
        <v>228</v>
      </c>
      <c r="AE15" s="13">
        <v>279</v>
      </c>
      <c r="AG15" s="13">
        <v>163</v>
      </c>
      <c r="AH15" s="13">
        <v>456</v>
      </c>
      <c r="AI15" s="13">
        <v>306</v>
      </c>
      <c r="AJ15" s="13">
        <v>1017</v>
      </c>
      <c r="AL15" s="13">
        <v>375</v>
      </c>
      <c r="AM15" s="13">
        <v>287</v>
      </c>
      <c r="AN15" s="13">
        <v>326</v>
      </c>
      <c r="AO15" s="13">
        <v>539</v>
      </c>
      <c r="AQ15" s="13">
        <v>449</v>
      </c>
      <c r="AR15" s="13">
        <v>437</v>
      </c>
      <c r="AS15" s="13">
        <v>406</v>
      </c>
      <c r="AT15" s="13">
        <v>587</v>
      </c>
      <c r="AV15" s="13">
        <v>209</v>
      </c>
      <c r="AW15" s="13">
        <v>215</v>
      </c>
      <c r="AX15" s="13">
        <v>214</v>
      </c>
      <c r="AY15" s="13">
        <v>254</v>
      </c>
      <c r="BA15" s="13">
        <v>206</v>
      </c>
      <c r="BB15" s="13">
        <v>242</v>
      </c>
      <c r="BC15" s="13">
        <v>215</v>
      </c>
      <c r="BD15" s="13">
        <v>247</v>
      </c>
      <c r="BF15" s="13">
        <v>251</v>
      </c>
      <c r="BG15" s="13">
        <v>249</v>
      </c>
      <c r="BH15" s="13">
        <v>206</v>
      </c>
      <c r="BI15" s="13">
        <v>271</v>
      </c>
      <c r="BK15" s="13">
        <v>315</v>
      </c>
      <c r="BL15" s="13">
        <v>243</v>
      </c>
      <c r="BM15" s="13">
        <v>280</v>
      </c>
      <c r="BN15" s="13">
        <v>363</v>
      </c>
      <c r="BP15" s="13">
        <v>381</v>
      </c>
      <c r="BQ15" s="13">
        <v>391</v>
      </c>
      <c r="BR15" s="13">
        <v>358</v>
      </c>
      <c r="BS15" s="13">
        <v>376</v>
      </c>
      <c r="BU15" s="13">
        <v>407</v>
      </c>
      <c r="BV15" s="13">
        <v>294</v>
      </c>
      <c r="BW15" s="13">
        <v>308</v>
      </c>
      <c r="BX15" s="13">
        <v>374</v>
      </c>
    </row>
    <row r="16" spans="1:76">
      <c r="A16" s="4" t="s">
        <v>31</v>
      </c>
      <c r="C16" s="25">
        <f>SUM(C11:C15)</f>
        <v>6404</v>
      </c>
      <c r="D16" s="25">
        <f>SUM(D11:D15)</f>
        <v>3846</v>
      </c>
      <c r="E16" s="25">
        <f>SUM(E11:E15)</f>
        <v>3807</v>
      </c>
      <c r="F16" s="25">
        <f>SUM(F11:F15)</f>
        <v>3524</v>
      </c>
      <c r="G16" s="15"/>
      <c r="H16" s="25">
        <f>SUM(H11:H15)</f>
        <v>3388</v>
      </c>
      <c r="I16" s="25">
        <f>SUM(I11:I15)</f>
        <v>3257</v>
      </c>
      <c r="J16" s="25">
        <f>SUM(J11:J15)</f>
        <v>3324</v>
      </c>
      <c r="K16" s="25">
        <f>SUM(K11:K15)</f>
        <v>3025</v>
      </c>
      <c r="M16" s="25">
        <f>SUM(M11:M15)</f>
        <v>2982</v>
      </c>
      <c r="N16" s="25">
        <f>SUM(N11:N15)</f>
        <v>2859</v>
      </c>
      <c r="O16" s="25">
        <f>SUM(O11:O15)</f>
        <v>2798</v>
      </c>
      <c r="P16" s="25">
        <f>SUM(P11:P15)</f>
        <v>2782</v>
      </c>
      <c r="R16" s="25">
        <f>SUM(R11:R15)</f>
        <v>2835</v>
      </c>
      <c r="S16" s="25">
        <f>SUM(S11:S15)</f>
        <v>3716</v>
      </c>
      <c r="T16" s="25">
        <f>SUM(T11:T15)</f>
        <v>3701</v>
      </c>
      <c r="U16" s="25">
        <f>SUM(U11:U15)</f>
        <v>3716</v>
      </c>
      <c r="W16" s="25">
        <f>SUM(W11:W15)</f>
        <v>2850</v>
      </c>
      <c r="X16" s="25">
        <f>SUM(X11:X15)</f>
        <v>3709</v>
      </c>
      <c r="Y16" s="25">
        <f>SUM(Y11:Y15)</f>
        <v>3686</v>
      </c>
      <c r="Z16" s="25">
        <f>SUM(Z11:Z15)</f>
        <v>3687</v>
      </c>
      <c r="AB16" s="25">
        <f>SUM(AB11:AB15)</f>
        <v>3743</v>
      </c>
      <c r="AC16" s="25">
        <f>SUM(AC11:AC15)</f>
        <v>3822</v>
      </c>
      <c r="AD16" s="25">
        <f>SUM(AD11:AD15)</f>
        <v>3877</v>
      </c>
      <c r="AE16" s="25">
        <f>SUM(AE11:AE15)</f>
        <v>3966</v>
      </c>
      <c r="AG16" s="25">
        <f>SUM(AG11:AG15)</f>
        <v>4191</v>
      </c>
      <c r="AH16" s="25">
        <f>SUM(AH11:AH15)</f>
        <v>4756</v>
      </c>
      <c r="AI16" s="25">
        <f>SUM(AI11:AI15)</f>
        <v>4719</v>
      </c>
      <c r="AJ16" s="25">
        <f>SUM(AJ11:AJ15)</f>
        <v>5165</v>
      </c>
      <c r="AL16" s="25">
        <f>SUM(AL11:AL15)</f>
        <v>5221</v>
      </c>
      <c r="AM16" s="25">
        <f>SUM(AM11:AM15)</f>
        <v>5678</v>
      </c>
      <c r="AN16" s="25">
        <f>SUM(AN11:AN15)</f>
        <v>5811</v>
      </c>
      <c r="AO16" s="25">
        <f>SUM(AO11:AO15)</f>
        <v>5663</v>
      </c>
      <c r="AQ16" s="25">
        <f>SUM(AQ11:AQ15)</f>
        <v>6052</v>
      </c>
      <c r="AR16" s="25">
        <f>SUM(AR11:AR15)</f>
        <v>6302</v>
      </c>
      <c r="AS16" s="25">
        <f>SUM(AS11:AS15)</f>
        <v>6131</v>
      </c>
      <c r="AT16" s="25">
        <f>SUM(AT11:AT15)</f>
        <v>5613</v>
      </c>
      <c r="AV16" s="25">
        <f>SUM(AV11:AV15)</f>
        <v>5221</v>
      </c>
      <c r="AW16" s="25">
        <f>SUM(AW11:AW15)</f>
        <v>5133</v>
      </c>
      <c r="AX16" s="25">
        <f>SUM(AX11:AX15)</f>
        <v>5111</v>
      </c>
      <c r="AY16" s="25">
        <f>SUM(AY11:AY15)</f>
        <v>4952</v>
      </c>
      <c r="BA16" s="25">
        <f>SUM(BA11:BA15)</f>
        <v>5624</v>
      </c>
      <c r="BB16" s="25">
        <f>SUM(BB11:BB15)</f>
        <v>6418</v>
      </c>
      <c r="BC16" s="25">
        <f>SUM(BC11:BC15)</f>
        <v>6674</v>
      </c>
      <c r="BD16" s="25">
        <f>SUM(BD11:BD15)</f>
        <v>6592</v>
      </c>
      <c r="BF16" s="25">
        <f>SUM(BF11:BF15)</f>
        <v>7646</v>
      </c>
      <c r="BG16" s="25">
        <f>SUM(BG11:BG15)</f>
        <v>7465</v>
      </c>
      <c r="BH16" s="25">
        <f>SUM(BH11:BH15)</f>
        <v>7335</v>
      </c>
      <c r="BI16" s="25">
        <f>SUM(BI11:BI15)</f>
        <v>6921</v>
      </c>
      <c r="BK16" s="25">
        <f>SUM(BK11:BK15)</f>
        <v>7862</v>
      </c>
      <c r="BL16" s="25">
        <f>SUM(BL11:BL15)</f>
        <v>7426</v>
      </c>
      <c r="BM16" s="25">
        <f>SUM(BM11:BM15)</f>
        <v>7291</v>
      </c>
      <c r="BN16" s="25">
        <f>SUM(BN11:BN15)</f>
        <v>6897</v>
      </c>
      <c r="BP16" s="25">
        <f>SUM(BP11:BP15)</f>
        <v>7596</v>
      </c>
      <c r="BQ16" s="25">
        <f>SUM(BQ11:BQ15)</f>
        <v>7368</v>
      </c>
      <c r="BR16" s="25">
        <f>SUM(BR11:BR15)</f>
        <v>7630</v>
      </c>
      <c r="BS16" s="25">
        <f>SUM(BS11:BS15)</f>
        <v>7087</v>
      </c>
      <c r="BU16" s="25">
        <f>SUM(BU11:BU15)</f>
        <v>7357</v>
      </c>
      <c r="BV16" s="25">
        <f>SUM(BV11:BV15)</f>
        <v>7202</v>
      </c>
      <c r="BW16" s="25">
        <f>SUM(BW11:BW15)</f>
        <v>7425</v>
      </c>
      <c r="BX16" s="25">
        <f>SUM(BX11:BX15)</f>
        <v>6369</v>
      </c>
    </row>
    <row r="17" spans="1:76">
      <c r="C17" s="13"/>
      <c r="D17" s="13"/>
      <c r="E17" s="13"/>
      <c r="F17" s="13"/>
      <c r="G17" s="15"/>
      <c r="H17" s="13"/>
      <c r="I17" s="13"/>
      <c r="J17" s="13"/>
      <c r="K17" s="13"/>
      <c r="M17" s="13"/>
      <c r="N17" s="13"/>
      <c r="O17" s="13"/>
      <c r="P17" s="13"/>
      <c r="R17" s="13"/>
      <c r="S17" s="13"/>
      <c r="T17" s="13"/>
      <c r="U17" s="13"/>
      <c r="W17" s="13"/>
      <c r="X17" s="13"/>
      <c r="Y17" s="13"/>
      <c r="Z17" s="13"/>
      <c r="AB17" s="13"/>
      <c r="AC17" s="13"/>
      <c r="AD17" s="13"/>
      <c r="AE17" s="13"/>
      <c r="AG17" s="13"/>
      <c r="AH17" s="13"/>
      <c r="AI17" s="13"/>
      <c r="AJ17" s="13"/>
      <c r="AL17" s="13"/>
      <c r="AM17" s="13"/>
      <c r="AN17" s="13"/>
      <c r="AO17" s="13"/>
      <c r="AQ17" s="13"/>
      <c r="AR17" s="13"/>
      <c r="AS17" s="13"/>
      <c r="AT17" s="13"/>
      <c r="AV17" s="13"/>
      <c r="AW17" s="13"/>
      <c r="AX17" s="13"/>
      <c r="AY17" s="13"/>
      <c r="BA17" s="13"/>
      <c r="BB17" s="13"/>
      <c r="BC17" s="13"/>
      <c r="BD17" s="13"/>
      <c r="BF17" s="13"/>
      <c r="BG17" s="13"/>
      <c r="BH17" s="13"/>
      <c r="BI17" s="13"/>
      <c r="BK17" s="13"/>
      <c r="BL17" s="13"/>
      <c r="BM17" s="13"/>
      <c r="BN17" s="13"/>
      <c r="BP17" s="13"/>
      <c r="BQ17" s="13"/>
      <c r="BR17" s="13"/>
      <c r="BS17" s="13"/>
      <c r="BU17" s="13"/>
      <c r="BV17" s="13"/>
      <c r="BW17" s="13"/>
      <c r="BX17" s="13"/>
    </row>
    <row r="18" spans="1:76">
      <c r="A18" s="4" t="s">
        <v>32</v>
      </c>
      <c r="C18" s="25">
        <f>C16+C9</f>
        <v>9424</v>
      </c>
      <c r="D18" s="25">
        <f>D16+D9</f>
        <v>6907</v>
      </c>
      <c r="E18" s="25">
        <f>E16+E9</f>
        <v>6714</v>
      </c>
      <c r="F18" s="25">
        <f>F16+F9</f>
        <v>6446</v>
      </c>
      <c r="G18" s="15"/>
      <c r="H18" s="25">
        <f>H16+H9</f>
        <v>6246</v>
      </c>
      <c r="I18" s="25">
        <f>I16+I9</f>
        <v>5992</v>
      </c>
      <c r="J18" s="25">
        <f>J16+J9</f>
        <v>5995</v>
      </c>
      <c r="K18" s="25">
        <f>K16+K9</f>
        <v>5034</v>
      </c>
      <c r="M18" s="25">
        <f>M16+M9</f>
        <v>4941</v>
      </c>
      <c r="N18" s="25">
        <f>N16+N9</f>
        <v>4765</v>
      </c>
      <c r="O18" s="25">
        <f>O16+O9</f>
        <v>4686</v>
      </c>
      <c r="P18" s="25">
        <f>P16+P9</f>
        <v>4663</v>
      </c>
      <c r="R18" s="25">
        <f>R16+R9</f>
        <v>4746</v>
      </c>
      <c r="S18" s="25">
        <f>S16+S9</f>
        <v>6273</v>
      </c>
      <c r="T18" s="25">
        <f>T16+T9</f>
        <v>6093</v>
      </c>
      <c r="U18" s="25">
        <f>U16+U9</f>
        <v>6112</v>
      </c>
      <c r="W18" s="25">
        <f>W16+W9</f>
        <v>4623</v>
      </c>
      <c r="X18" s="25">
        <f>X16+X9</f>
        <v>6024</v>
      </c>
      <c r="Y18" s="25">
        <f>Y16+Y9</f>
        <v>5856</v>
      </c>
      <c r="Z18" s="25">
        <f>Z16+Z9</f>
        <v>5869</v>
      </c>
      <c r="AB18" s="25">
        <f>AB16+AB9</f>
        <v>5922</v>
      </c>
      <c r="AC18" s="25">
        <f>AC16+AC9</f>
        <v>6031</v>
      </c>
      <c r="AD18" s="25">
        <f>AD16+AD9</f>
        <v>6102</v>
      </c>
      <c r="AE18" s="25">
        <f>AE16+AE9</f>
        <v>6177</v>
      </c>
      <c r="AG18" s="25">
        <f>AG16+AG9</f>
        <v>6457</v>
      </c>
      <c r="AH18" s="25">
        <f>AH16+AH9</f>
        <v>6916</v>
      </c>
      <c r="AI18" s="25">
        <f>AI16+AI9</f>
        <v>6890</v>
      </c>
      <c r="AJ18" s="25">
        <f>AJ16+AJ9</f>
        <v>7350</v>
      </c>
      <c r="AL18" s="25">
        <f>AL16+AL9</f>
        <v>7990</v>
      </c>
      <c r="AM18" s="25">
        <f>AM16+AM9</f>
        <v>8588</v>
      </c>
      <c r="AN18" s="25">
        <f>AN16+AN9</f>
        <v>9161</v>
      </c>
      <c r="AO18" s="25">
        <f>AO16+AO9</f>
        <v>9099</v>
      </c>
      <c r="AQ18" s="25">
        <f>AQ16+AQ9</f>
        <v>9655</v>
      </c>
      <c r="AR18" s="25">
        <f>AR16+AR9</f>
        <v>10231</v>
      </c>
      <c r="AS18" s="25">
        <f>AS16+AS9</f>
        <v>10309</v>
      </c>
      <c r="AT18" s="25">
        <f>AT16+AT9</f>
        <v>9935</v>
      </c>
      <c r="AV18" s="25">
        <f>AV16+AV9</f>
        <v>9735</v>
      </c>
      <c r="AW18" s="25">
        <f>AW16+AW9</f>
        <v>9889</v>
      </c>
      <c r="AX18" s="25">
        <f>AX16+AX9</f>
        <v>10093</v>
      </c>
      <c r="AY18" s="25">
        <f>AY16+AY9</f>
        <v>10124</v>
      </c>
      <c r="BA18" s="25">
        <f>BA16+BA9</f>
        <v>11161</v>
      </c>
      <c r="BB18" s="25">
        <f>BB16+BB9</f>
        <v>12134</v>
      </c>
      <c r="BC18" s="25">
        <f>BC16+BC9</f>
        <v>12353</v>
      </c>
      <c r="BD18" s="25">
        <f>BD16+BD9</f>
        <v>12556</v>
      </c>
      <c r="BF18" s="25">
        <f>BF16+BF9</f>
        <v>13660</v>
      </c>
      <c r="BG18" s="25">
        <f>BG16+BG9</f>
        <v>13530</v>
      </c>
      <c r="BH18" s="25">
        <f>BH16+BH9</f>
        <v>13607</v>
      </c>
      <c r="BI18" s="25">
        <f>BI16+BI9</f>
        <v>13439</v>
      </c>
      <c r="BK18" s="25">
        <f>BK16+BK9</f>
        <v>13771</v>
      </c>
      <c r="BL18" s="25">
        <f>BL16+BL9</f>
        <v>13385</v>
      </c>
      <c r="BM18" s="25">
        <f>BM16+BM9</f>
        <v>13208</v>
      </c>
      <c r="BN18" s="25">
        <f>BN16+BN9</f>
        <v>12936</v>
      </c>
      <c r="BP18" s="25">
        <f>BP16+BP9</f>
        <v>13661</v>
      </c>
      <c r="BQ18" s="25">
        <f>BQ16+BQ9</f>
        <v>13345</v>
      </c>
      <c r="BR18" s="25">
        <f>BR16+BR9</f>
        <v>13534</v>
      </c>
      <c r="BS18" s="25">
        <f>BS16+BS9</f>
        <v>12995</v>
      </c>
      <c r="BU18" s="25">
        <f>BU16+BU9</f>
        <v>13138</v>
      </c>
      <c r="BV18" s="25">
        <f>BV16+BV9</f>
        <v>13051</v>
      </c>
      <c r="BW18" s="25">
        <f>BW16+BW9</f>
        <v>13432</v>
      </c>
      <c r="BX18" s="25">
        <f>BX16+BX9</f>
        <v>12338</v>
      </c>
    </row>
    <row r="19" spans="1:76">
      <c r="C19" s="13"/>
      <c r="D19" s="13"/>
      <c r="E19" s="13"/>
      <c r="F19" s="13"/>
      <c r="G19" s="15"/>
      <c r="H19" s="13"/>
      <c r="I19" s="13"/>
      <c r="J19" s="13"/>
      <c r="K19" s="13"/>
      <c r="M19" s="13"/>
      <c r="N19" s="13"/>
      <c r="O19" s="13"/>
      <c r="P19" s="13"/>
      <c r="R19" s="13"/>
      <c r="S19" s="13"/>
      <c r="T19" s="13"/>
      <c r="U19" s="13"/>
      <c r="W19" s="13"/>
      <c r="X19" s="13"/>
      <c r="Y19" s="13"/>
      <c r="Z19" s="13"/>
      <c r="AB19" s="13"/>
      <c r="AC19" s="13"/>
      <c r="AD19" s="13"/>
      <c r="AE19" s="13"/>
      <c r="AG19" s="13"/>
      <c r="AH19" s="13"/>
      <c r="AI19" s="13"/>
      <c r="AJ19" s="13"/>
      <c r="AL19" s="13"/>
      <c r="AM19" s="13"/>
      <c r="AN19" s="13"/>
      <c r="AO19" s="13"/>
      <c r="AQ19" s="13"/>
      <c r="AR19" s="13"/>
      <c r="AS19" s="13"/>
      <c r="AT19" s="13"/>
      <c r="AV19" s="13"/>
      <c r="AW19" s="13"/>
      <c r="AX19" s="13"/>
      <c r="AY19" s="13"/>
      <c r="BA19" s="13"/>
      <c r="BB19" s="13"/>
      <c r="BC19" s="13"/>
      <c r="BD19" s="13"/>
      <c r="BF19" s="13"/>
      <c r="BG19" s="13"/>
      <c r="BH19" s="13"/>
      <c r="BI19" s="13"/>
      <c r="BK19" s="13"/>
      <c r="BL19" s="13"/>
      <c r="BM19" s="13"/>
      <c r="BN19" s="13"/>
      <c r="BP19" s="13"/>
      <c r="BQ19" s="13"/>
      <c r="BR19" s="13"/>
      <c r="BS19" s="13"/>
      <c r="BU19" s="13"/>
      <c r="BV19" s="13"/>
      <c r="BW19" s="13"/>
      <c r="BX19" s="13"/>
    </row>
    <row r="20" spans="1:76">
      <c r="A20" s="23" t="s">
        <v>27</v>
      </c>
      <c r="C20" s="13"/>
      <c r="D20" s="13"/>
      <c r="E20" s="13"/>
      <c r="F20" s="13"/>
      <c r="G20" s="15"/>
      <c r="H20" s="13"/>
      <c r="I20" s="13"/>
      <c r="J20" s="13"/>
      <c r="K20" s="13"/>
      <c r="M20" s="13"/>
      <c r="N20" s="13"/>
      <c r="O20" s="13"/>
      <c r="P20" s="13"/>
      <c r="R20" s="13"/>
      <c r="S20" s="13"/>
      <c r="T20" s="13"/>
      <c r="U20" s="13"/>
      <c r="W20" s="13"/>
      <c r="X20" s="13"/>
      <c r="Y20" s="13"/>
      <c r="Z20" s="13"/>
      <c r="AB20" s="13"/>
      <c r="AC20" s="13"/>
      <c r="AD20" s="13"/>
      <c r="AE20" s="13"/>
      <c r="AG20" s="13"/>
      <c r="AH20" s="13"/>
      <c r="AI20" s="13"/>
      <c r="AJ20" s="13"/>
      <c r="AL20" s="13"/>
      <c r="AM20" s="13"/>
      <c r="AN20" s="13"/>
      <c r="AO20" s="13"/>
      <c r="AQ20" s="13"/>
      <c r="AR20" s="13"/>
      <c r="AS20" s="13"/>
      <c r="AT20" s="13"/>
      <c r="AV20" s="13"/>
      <c r="AW20" s="13"/>
      <c r="AX20" s="13"/>
      <c r="AY20" s="13"/>
      <c r="BA20" s="13"/>
      <c r="BB20" s="13"/>
      <c r="BC20" s="13"/>
      <c r="BD20" s="13"/>
      <c r="BF20" s="13"/>
      <c r="BG20" s="13"/>
      <c r="BH20" s="13"/>
      <c r="BI20" s="13"/>
      <c r="BK20" s="13"/>
      <c r="BL20" s="13"/>
      <c r="BM20" s="13"/>
      <c r="BN20" s="13"/>
      <c r="BP20" s="13"/>
      <c r="BQ20" s="13"/>
      <c r="BR20" s="13"/>
      <c r="BS20" s="13"/>
      <c r="BU20" s="13"/>
      <c r="BV20" s="13"/>
      <c r="BW20" s="13"/>
      <c r="BX20" s="13"/>
    </row>
    <row r="21" spans="1:76">
      <c r="A21" s="4" t="s">
        <v>33</v>
      </c>
      <c r="C21" s="13">
        <f>C43</f>
        <v>6397</v>
      </c>
      <c r="D21" s="13">
        <f>D43</f>
        <v>3894</v>
      </c>
      <c r="E21" s="13">
        <f>E43</f>
        <v>3790</v>
      </c>
      <c r="F21" s="13">
        <f>F43</f>
        <v>3762</v>
      </c>
      <c r="G21" s="15"/>
      <c r="H21" s="13">
        <f>H43</f>
        <v>3741</v>
      </c>
      <c r="I21" s="13">
        <f>I43</f>
        <v>3554</v>
      </c>
      <c r="J21" s="13">
        <f>J43</f>
        <v>3547</v>
      </c>
      <c r="K21" s="13">
        <f>K43</f>
        <v>2898</v>
      </c>
      <c r="M21" s="13">
        <v>2880</v>
      </c>
      <c r="N21" s="13">
        <v>2787</v>
      </c>
      <c r="O21" s="13">
        <v>2815</v>
      </c>
      <c r="P21" s="13">
        <v>2831</v>
      </c>
      <c r="R21" s="13">
        <v>2837</v>
      </c>
      <c r="S21" s="13">
        <v>2689</v>
      </c>
      <c r="T21" s="13">
        <v>2804</v>
      </c>
      <c r="U21" s="13">
        <v>2859</v>
      </c>
      <c r="W21" s="13">
        <v>2721</v>
      </c>
      <c r="X21" s="13">
        <v>2467</v>
      </c>
      <c r="Y21" s="13">
        <v>2603</v>
      </c>
      <c r="Z21" s="13">
        <v>2674</v>
      </c>
      <c r="AB21" s="13">
        <f>2742</f>
        <v>2742</v>
      </c>
      <c r="AC21" s="13">
        <v>2703</v>
      </c>
      <c r="AD21" s="13">
        <v>2573</v>
      </c>
      <c r="AE21" s="13">
        <v>2672</v>
      </c>
      <c r="AG21" s="13">
        <v>2711</v>
      </c>
      <c r="AH21" s="13">
        <v>2526</v>
      </c>
      <c r="AI21" s="13">
        <v>2663</v>
      </c>
      <c r="AJ21" s="13">
        <v>2787</v>
      </c>
      <c r="AL21" s="13">
        <v>2887</v>
      </c>
      <c r="AM21" s="13">
        <v>2847</v>
      </c>
      <c r="AN21" s="13">
        <v>2960</v>
      </c>
      <c r="AO21" s="13">
        <v>3246</v>
      </c>
      <c r="AQ21" s="13">
        <v>3337</v>
      </c>
      <c r="AR21" s="13">
        <v>3355</v>
      </c>
      <c r="AS21" s="13">
        <v>3598</v>
      </c>
      <c r="AT21" s="13">
        <v>3427</v>
      </c>
      <c r="AV21" s="13">
        <v>3451</v>
      </c>
      <c r="AW21" s="13">
        <v>3507.9</v>
      </c>
      <c r="AX21" s="13">
        <v>3538</v>
      </c>
      <c r="AY21" s="13">
        <v>3719</v>
      </c>
      <c r="BA21" s="13">
        <v>3810</v>
      </c>
      <c r="BB21" s="13">
        <v>4030</v>
      </c>
      <c r="BC21" s="13">
        <v>3992</v>
      </c>
      <c r="BD21" s="13">
        <v>4105</v>
      </c>
      <c r="BF21" s="13">
        <v>3989</v>
      </c>
      <c r="BG21" s="13">
        <v>3983</v>
      </c>
      <c r="BH21" s="13">
        <v>4000</v>
      </c>
      <c r="BI21" s="13">
        <v>4060</v>
      </c>
      <c r="BK21" s="13">
        <v>4116</v>
      </c>
      <c r="BL21" s="13">
        <v>5552</v>
      </c>
      <c r="BM21" s="13">
        <v>5650</v>
      </c>
      <c r="BN21" s="13">
        <v>5730</v>
      </c>
      <c r="BP21" s="13">
        <v>5571</v>
      </c>
      <c r="BQ21" s="13">
        <v>5603</v>
      </c>
      <c r="BR21" s="13">
        <v>5611</v>
      </c>
      <c r="BS21" s="13">
        <v>5667</v>
      </c>
      <c r="BU21" s="13">
        <v>5600</v>
      </c>
      <c r="BV21" s="13">
        <v>5685</v>
      </c>
      <c r="BW21" s="13">
        <v>5913</v>
      </c>
      <c r="BX21" s="13">
        <v>5969</v>
      </c>
    </row>
    <row r="22" spans="1:76">
      <c r="A22" s="4" t="s">
        <v>8</v>
      </c>
      <c r="C22" s="13">
        <v>243</v>
      </c>
      <c r="D22" s="13">
        <v>243</v>
      </c>
      <c r="E22" s="13">
        <v>226</v>
      </c>
      <c r="F22" s="13">
        <v>222</v>
      </c>
      <c r="G22" s="15"/>
      <c r="H22" s="13">
        <v>197</v>
      </c>
      <c r="I22" s="13">
        <v>189</v>
      </c>
      <c r="J22" s="13">
        <v>176</v>
      </c>
      <c r="K22" s="13">
        <v>135</v>
      </c>
      <c r="M22" s="13">
        <v>129</v>
      </c>
      <c r="N22" s="13">
        <v>129</v>
      </c>
      <c r="O22" s="13">
        <v>136</v>
      </c>
      <c r="P22" s="13">
        <v>126</v>
      </c>
      <c r="R22" s="13">
        <v>148</v>
      </c>
      <c r="S22" s="13">
        <v>150</v>
      </c>
      <c r="T22" s="13">
        <v>147</v>
      </c>
      <c r="U22" s="13">
        <v>141</v>
      </c>
      <c r="W22" s="19">
        <v>62</v>
      </c>
      <c r="X22" s="19">
        <v>67</v>
      </c>
      <c r="Y22" s="19">
        <v>71</v>
      </c>
      <c r="Z22" s="19">
        <v>76</v>
      </c>
      <c r="AB22" s="19">
        <v>58</v>
      </c>
      <c r="AC22" s="19">
        <v>59</v>
      </c>
      <c r="AD22" s="19">
        <v>63</v>
      </c>
      <c r="AE22" s="19">
        <v>63</v>
      </c>
      <c r="AG22" s="19">
        <v>64</v>
      </c>
      <c r="AH22" s="19">
        <v>71</v>
      </c>
      <c r="AI22" s="19">
        <v>14</v>
      </c>
      <c r="AJ22" s="19">
        <v>19</v>
      </c>
      <c r="AL22" s="19">
        <v>20</v>
      </c>
      <c r="AM22" s="19">
        <v>25</v>
      </c>
      <c r="AN22" s="19">
        <v>29</v>
      </c>
      <c r="AO22" s="19">
        <v>37</v>
      </c>
      <c r="AQ22" s="19">
        <v>39</v>
      </c>
      <c r="AR22" s="19">
        <v>42</v>
      </c>
      <c r="AS22" s="19">
        <v>46</v>
      </c>
      <c r="AT22" s="19">
        <v>38</v>
      </c>
      <c r="AV22" s="19">
        <v>32</v>
      </c>
      <c r="AW22" s="19">
        <v>34.4</v>
      </c>
      <c r="AX22" s="19">
        <v>41</v>
      </c>
      <c r="AY22" s="19">
        <v>21</v>
      </c>
      <c r="BA22" s="19">
        <v>22</v>
      </c>
      <c r="BB22" s="19">
        <v>23</v>
      </c>
      <c r="BC22" s="19">
        <v>7</v>
      </c>
      <c r="BD22" s="19">
        <v>7</v>
      </c>
      <c r="BF22" s="19">
        <v>5</v>
      </c>
      <c r="BG22" s="19">
        <v>6</v>
      </c>
      <c r="BH22" s="19">
        <v>6</v>
      </c>
      <c r="BI22" s="19">
        <v>6</v>
      </c>
      <c r="BK22" s="19">
        <v>6</v>
      </c>
      <c r="BL22" s="19">
        <v>6</v>
      </c>
      <c r="BM22" s="19">
        <v>7</v>
      </c>
      <c r="BN22" s="19">
        <v>7</v>
      </c>
      <c r="BP22" s="19">
        <v>8</v>
      </c>
      <c r="BQ22" s="19">
        <v>7</v>
      </c>
      <c r="BR22" s="19">
        <v>7</v>
      </c>
      <c r="BS22" s="19">
        <v>7</v>
      </c>
      <c r="BU22" s="19">
        <v>6</v>
      </c>
      <c r="BV22" s="19">
        <v>6</v>
      </c>
      <c r="BW22" s="19">
        <v>6</v>
      </c>
      <c r="BX22" s="19">
        <v>6</v>
      </c>
    </row>
    <row r="23" spans="1:76">
      <c r="A23" s="4" t="s">
        <v>68</v>
      </c>
      <c r="C23" s="13"/>
      <c r="D23" s="13"/>
      <c r="E23" s="13"/>
      <c r="F23" s="13"/>
      <c r="G23" s="15"/>
      <c r="H23" s="13"/>
      <c r="I23" s="13"/>
      <c r="J23" s="13"/>
      <c r="K23" s="13"/>
      <c r="M23" s="13"/>
      <c r="N23" s="13"/>
      <c r="O23" s="13"/>
      <c r="P23" s="13"/>
      <c r="R23" s="13"/>
      <c r="S23" s="13"/>
      <c r="T23" s="13"/>
      <c r="U23" s="13"/>
      <c r="W23" s="13">
        <f>SUM(W21:W22)</f>
        <v>2783</v>
      </c>
      <c r="X23" s="13">
        <f>SUM(X21:X22)</f>
        <v>2534</v>
      </c>
      <c r="Y23" s="13">
        <f>SUM(Y21:Y22)</f>
        <v>2674</v>
      </c>
      <c r="Z23" s="13">
        <f>SUM(Z21:Z22)</f>
        <v>2750</v>
      </c>
      <c r="AB23" s="13">
        <f>SUM(AB21:AB22)</f>
        <v>2800</v>
      </c>
      <c r="AC23" s="13">
        <f>SUM(AC21:AC22)</f>
        <v>2762</v>
      </c>
      <c r="AD23" s="13">
        <f>SUM(AD21:AD22)</f>
        <v>2636</v>
      </c>
      <c r="AE23" s="13">
        <f>SUM(AE21:AE22)</f>
        <v>2735</v>
      </c>
      <c r="AG23" s="13">
        <f>SUM(AG21:AG22)</f>
        <v>2775</v>
      </c>
      <c r="AH23" s="13">
        <f>SUM(AH21:AH22)</f>
        <v>2597</v>
      </c>
      <c r="AI23" s="13">
        <f>SUM(AI21:AI22)</f>
        <v>2677</v>
      </c>
      <c r="AJ23" s="13">
        <f>SUM(AJ21:AJ22)</f>
        <v>2806</v>
      </c>
      <c r="AL23" s="13">
        <f>SUM(AL21:AL22)</f>
        <v>2907</v>
      </c>
      <c r="AM23" s="13">
        <f>SUM(AM21:AM22)</f>
        <v>2872</v>
      </c>
      <c r="AN23" s="13">
        <f>SUM(AN21:AN22)</f>
        <v>2989</v>
      </c>
      <c r="AO23" s="13">
        <f>SUM(AO21:AO22)</f>
        <v>3283</v>
      </c>
      <c r="AQ23" s="13">
        <f>SUM(AQ21:AQ22)</f>
        <v>3376</v>
      </c>
      <c r="AR23" s="13">
        <f>SUM(AR21:AR22)</f>
        <v>3397</v>
      </c>
      <c r="AS23" s="13">
        <f>SUM(AS21:AS22)</f>
        <v>3644</v>
      </c>
      <c r="AT23" s="13">
        <f>SUM(AT21:AT22)</f>
        <v>3465</v>
      </c>
      <c r="AV23" s="13">
        <f>SUM(AV21:AV22)</f>
        <v>3483</v>
      </c>
      <c r="AW23" s="13">
        <f>SUM(AW21:AW22)</f>
        <v>3542.3</v>
      </c>
      <c r="AX23" s="13">
        <f>SUM(AX21:AX22)</f>
        <v>3579</v>
      </c>
      <c r="AY23" s="13">
        <f>SUM(AY21:AY22)</f>
        <v>3740</v>
      </c>
      <c r="BA23" s="13">
        <f>SUM(BA21:BA22)</f>
        <v>3832</v>
      </c>
      <c r="BB23" s="13">
        <f>SUM(BB21:BB22)</f>
        <v>4053</v>
      </c>
      <c r="BC23" s="13">
        <f>SUM(BC21:BC22)</f>
        <v>3999</v>
      </c>
      <c r="BD23" s="13">
        <f>SUM(BD21:BD22)</f>
        <v>4112</v>
      </c>
      <c r="BF23" s="13">
        <f>SUM(BF21:BF22)</f>
        <v>3994</v>
      </c>
      <c r="BG23" s="13">
        <f>SUM(BG21:BG22)</f>
        <v>3989</v>
      </c>
      <c r="BH23" s="13">
        <f>SUM(BH21:BH22)</f>
        <v>4006</v>
      </c>
      <c r="BI23" s="13">
        <f>SUM(BI21:BI22)</f>
        <v>4066</v>
      </c>
      <c r="BK23" s="13">
        <f>SUM(BK21:BK22)</f>
        <v>4122</v>
      </c>
      <c r="BL23" s="13">
        <f>SUM(BL21:BL22)</f>
        <v>5558</v>
      </c>
      <c r="BM23" s="13">
        <f>SUM(BM21:BM22)</f>
        <v>5657</v>
      </c>
      <c r="BN23" s="13">
        <f>SUM(BN21:BN22)</f>
        <v>5737</v>
      </c>
      <c r="BP23" s="13">
        <f>SUM(BP21:BP22)</f>
        <v>5579</v>
      </c>
      <c r="BQ23" s="13">
        <f>SUM(BQ21:BQ22)</f>
        <v>5610</v>
      </c>
      <c r="BR23" s="13">
        <f>SUM(BR21:BR22)</f>
        <v>5618</v>
      </c>
      <c r="BS23" s="13">
        <f>SUM(BS21:BS22)</f>
        <v>5674</v>
      </c>
      <c r="BU23" s="13">
        <f>SUM(BU21:BU22)</f>
        <v>5606</v>
      </c>
      <c r="BV23" s="13">
        <f>SUM(BV21:BV22)</f>
        <v>5691</v>
      </c>
      <c r="BW23" s="13">
        <f>SUM(BW21:BW22)</f>
        <v>5919</v>
      </c>
      <c r="BX23" s="13">
        <f>SUM(BX21:BX22)</f>
        <v>5975</v>
      </c>
    </row>
    <row r="24" spans="1:76">
      <c r="A24" s="4" t="s">
        <v>74</v>
      </c>
      <c r="C24" s="13">
        <v>505</v>
      </c>
      <c r="D24" s="13">
        <v>477</v>
      </c>
      <c r="E24" s="13">
        <v>478</v>
      </c>
      <c r="F24" s="13">
        <v>418</v>
      </c>
      <c r="G24" s="15"/>
      <c r="H24" s="13">
        <v>380</v>
      </c>
      <c r="I24" s="13">
        <v>369</v>
      </c>
      <c r="J24" s="13">
        <v>372</v>
      </c>
      <c r="K24" s="13">
        <v>356</v>
      </c>
      <c r="M24" s="13">
        <v>352</v>
      </c>
      <c r="N24" s="13">
        <v>341</v>
      </c>
      <c r="O24" s="13">
        <v>340</v>
      </c>
      <c r="P24" s="13">
        <v>327</v>
      </c>
      <c r="R24" s="13">
        <v>329</v>
      </c>
      <c r="S24" s="13">
        <v>542</v>
      </c>
      <c r="T24" s="13">
        <v>530</v>
      </c>
      <c r="U24" s="13">
        <v>498</v>
      </c>
      <c r="W24" s="53">
        <f>6+269+49</f>
        <v>324</v>
      </c>
      <c r="X24" s="13">
        <f>7+283+13</f>
        <v>303</v>
      </c>
      <c r="Y24" s="13">
        <f>7+283+14</f>
        <v>304</v>
      </c>
      <c r="Z24" s="13">
        <v>300</v>
      </c>
      <c r="AB24" s="53">
        <f>8+284+14</f>
        <v>306</v>
      </c>
      <c r="AC24" s="13">
        <f>9+283+16</f>
        <v>308</v>
      </c>
      <c r="AD24" s="13">
        <v>307</v>
      </c>
      <c r="AE24" s="13">
        <v>315</v>
      </c>
      <c r="AG24" s="53">
        <v>325</v>
      </c>
      <c r="AH24" s="13">
        <v>329</v>
      </c>
      <c r="AI24" s="13">
        <v>322</v>
      </c>
      <c r="AJ24" s="13">
        <v>317</v>
      </c>
      <c r="AL24" s="53">
        <v>346</v>
      </c>
      <c r="AM24" s="13">
        <v>376</v>
      </c>
      <c r="AN24" s="13">
        <v>463</v>
      </c>
      <c r="AO24" s="13">
        <v>474</v>
      </c>
      <c r="AQ24" s="53">
        <v>509</v>
      </c>
      <c r="AR24" s="13">
        <v>515</v>
      </c>
      <c r="AS24" s="13">
        <f>125+286+98</f>
        <v>509</v>
      </c>
      <c r="AT24" s="13">
        <f>91+280+123</f>
        <v>494</v>
      </c>
      <c r="AV24" s="13">
        <v>493</v>
      </c>
      <c r="AW24" s="13">
        <f>369.9+144.2</f>
        <v>514.09999999999991</v>
      </c>
      <c r="AX24" s="13">
        <v>528</v>
      </c>
      <c r="AY24" s="13">
        <v>551</v>
      </c>
      <c r="BA24" s="13">
        <f>147+286+42</f>
        <v>475</v>
      </c>
      <c r="BB24" s="13">
        <v>548</v>
      </c>
      <c r="BC24" s="13">
        <v>573</v>
      </c>
      <c r="BD24" s="13">
        <v>583</v>
      </c>
      <c r="BF24" s="13">
        <v>552</v>
      </c>
      <c r="BG24" s="13">
        <v>507</v>
      </c>
      <c r="BH24" s="13">
        <v>471</v>
      </c>
      <c r="BI24" s="13">
        <v>608</v>
      </c>
      <c r="BK24" s="13">
        <v>563</v>
      </c>
      <c r="BL24" s="13">
        <v>534</v>
      </c>
      <c r="BM24" s="13">
        <v>551</v>
      </c>
      <c r="BN24" s="13">
        <v>661</v>
      </c>
      <c r="BP24" s="13">
        <v>679</v>
      </c>
      <c r="BQ24" s="13">
        <v>673</v>
      </c>
      <c r="BR24" s="13">
        <f>251+343+71</f>
        <v>665</v>
      </c>
      <c r="BS24" s="13">
        <f>345.8+342.3+69.5</f>
        <v>757.6</v>
      </c>
      <c r="BU24" s="13">
        <v>696</v>
      </c>
      <c r="BV24" s="13">
        <v>752</v>
      </c>
      <c r="BW24" s="13">
        <f>379+343+69</f>
        <v>791</v>
      </c>
      <c r="BX24" s="13">
        <v>872</v>
      </c>
    </row>
    <row r="25" spans="1:76">
      <c r="A25" s="4" t="s">
        <v>171</v>
      </c>
      <c r="C25" s="13">
        <v>594</v>
      </c>
      <c r="D25" s="13">
        <v>600</v>
      </c>
      <c r="E25" s="13">
        <v>572</v>
      </c>
      <c r="F25" s="13">
        <v>510</v>
      </c>
      <c r="G25" s="15"/>
      <c r="H25" s="13">
        <v>407</v>
      </c>
      <c r="I25" s="13">
        <v>376</v>
      </c>
      <c r="J25" s="13">
        <v>377</v>
      </c>
      <c r="K25" s="13">
        <v>56</v>
      </c>
      <c r="M25" s="13">
        <v>58</v>
      </c>
      <c r="N25" s="13">
        <v>46</v>
      </c>
      <c r="O25" s="13">
        <v>49</v>
      </c>
      <c r="P25" s="13">
        <v>45</v>
      </c>
      <c r="R25" s="13">
        <v>45</v>
      </c>
      <c r="S25" s="13">
        <v>270</v>
      </c>
      <c r="T25" s="13">
        <v>777</v>
      </c>
      <c r="U25" s="13">
        <v>735</v>
      </c>
      <c r="W25" s="13">
        <v>45</v>
      </c>
      <c r="X25" s="13">
        <v>270</v>
      </c>
      <c r="Y25" s="13">
        <v>777</v>
      </c>
      <c r="Z25" s="13">
        <v>735</v>
      </c>
      <c r="AB25" s="13">
        <v>760</v>
      </c>
      <c r="AC25" s="13">
        <v>727</v>
      </c>
      <c r="AD25" s="13">
        <v>1014</v>
      </c>
      <c r="AE25" s="13">
        <v>981</v>
      </c>
      <c r="AG25" s="13">
        <v>981</v>
      </c>
      <c r="AH25" s="13">
        <v>980</v>
      </c>
      <c r="AI25" s="13">
        <v>980</v>
      </c>
      <c r="AJ25" s="13">
        <v>1477</v>
      </c>
      <c r="AL25" s="13">
        <v>1713</v>
      </c>
      <c r="AM25" s="13">
        <v>1721</v>
      </c>
      <c r="AN25" s="13">
        <v>1718</v>
      </c>
      <c r="AO25" s="13">
        <v>1343</v>
      </c>
      <c r="AQ25" s="13">
        <v>1410</v>
      </c>
      <c r="AR25" s="13">
        <v>1462</v>
      </c>
      <c r="AS25" s="13">
        <v>1436</v>
      </c>
      <c r="AT25" s="13">
        <v>1315</v>
      </c>
      <c r="AV25" s="13">
        <v>1230</v>
      </c>
      <c r="AW25" s="13">
        <v>1907</v>
      </c>
      <c r="AX25" s="13">
        <v>2166</v>
      </c>
      <c r="AY25" s="13">
        <v>1947</v>
      </c>
      <c r="BA25" s="13">
        <v>2352</v>
      </c>
      <c r="BB25" s="13">
        <v>2722</v>
      </c>
      <c r="BC25" s="13">
        <v>2868</v>
      </c>
      <c r="BD25" s="13">
        <v>3452</v>
      </c>
      <c r="BF25" s="13">
        <v>4098</v>
      </c>
      <c r="BG25" s="13">
        <v>4158</v>
      </c>
      <c r="BH25" s="13">
        <v>3671</v>
      </c>
      <c r="BI25" s="13">
        <v>3558</v>
      </c>
      <c r="BK25" s="13">
        <v>3874</v>
      </c>
      <c r="BL25" s="13">
        <v>1895</v>
      </c>
      <c r="BM25" s="13">
        <v>2012</v>
      </c>
      <c r="BN25" s="13">
        <v>544</v>
      </c>
      <c r="BP25" s="13">
        <v>1129</v>
      </c>
      <c r="BQ25" s="13">
        <v>1717</v>
      </c>
      <c r="BR25" s="13">
        <v>1717</v>
      </c>
      <c r="BS25" s="13">
        <v>2098</v>
      </c>
      <c r="BU25" s="13">
        <v>2083</v>
      </c>
      <c r="BV25" s="13">
        <v>1953</v>
      </c>
      <c r="BW25" s="13">
        <v>2135</v>
      </c>
      <c r="BX25" s="13">
        <v>1320</v>
      </c>
    </row>
    <row r="26" spans="1:76">
      <c r="A26" s="4" t="s">
        <v>172</v>
      </c>
      <c r="C26" s="13">
        <v>594</v>
      </c>
      <c r="D26" s="13">
        <v>533</v>
      </c>
      <c r="E26" s="13">
        <v>497</v>
      </c>
      <c r="F26" s="13">
        <v>450</v>
      </c>
      <c r="G26" s="15"/>
      <c r="H26" s="13">
        <v>472</v>
      </c>
      <c r="I26" s="13">
        <v>460</v>
      </c>
      <c r="J26" s="13">
        <v>471</v>
      </c>
      <c r="K26" s="13">
        <v>412</v>
      </c>
      <c r="M26" s="13">
        <v>387</v>
      </c>
      <c r="N26" s="13">
        <v>353</v>
      </c>
      <c r="O26" s="13">
        <v>245</v>
      </c>
      <c r="P26" s="13">
        <v>245</v>
      </c>
      <c r="R26" s="13">
        <v>252</v>
      </c>
      <c r="S26" s="13">
        <v>1091</v>
      </c>
      <c r="T26" s="13">
        <v>316</v>
      </c>
      <c r="U26" s="13">
        <v>282</v>
      </c>
      <c r="W26" s="13">
        <v>236</v>
      </c>
      <c r="X26" s="13">
        <v>1052</v>
      </c>
      <c r="Y26" s="13">
        <v>268</v>
      </c>
      <c r="Z26" s="13">
        <v>223</v>
      </c>
      <c r="AB26" s="13">
        <v>184</v>
      </c>
      <c r="AC26" s="13">
        <v>269</v>
      </c>
      <c r="AD26" s="13">
        <v>241</v>
      </c>
      <c r="AE26" s="13">
        <v>218</v>
      </c>
      <c r="AG26" s="13">
        <v>474</v>
      </c>
      <c r="AH26" s="13">
        <v>774</v>
      </c>
      <c r="AI26" s="13">
        <v>572</v>
      </c>
      <c r="AJ26" s="13">
        <v>624</v>
      </c>
      <c r="AL26" s="13">
        <v>661</v>
      </c>
      <c r="AM26" s="13">
        <v>889</v>
      </c>
      <c r="AN26" s="13">
        <v>937</v>
      </c>
      <c r="AO26" s="13">
        <v>1205</v>
      </c>
      <c r="AQ26" s="13">
        <v>1266</v>
      </c>
      <c r="AR26" s="13">
        <v>1741</v>
      </c>
      <c r="AS26" s="13">
        <v>1664</v>
      </c>
      <c r="AT26" s="13">
        <v>1415</v>
      </c>
      <c r="AV26" s="13">
        <v>1243</v>
      </c>
      <c r="AW26" s="13">
        <v>826</v>
      </c>
      <c r="AX26" s="13">
        <v>619</v>
      </c>
      <c r="AY26" s="13">
        <v>926</v>
      </c>
      <c r="BA26" s="13">
        <v>1131</v>
      </c>
      <c r="BB26" s="13">
        <v>1338</v>
      </c>
      <c r="BC26" s="13">
        <v>1491</v>
      </c>
      <c r="BD26" s="13">
        <v>957</v>
      </c>
      <c r="BF26" s="13">
        <v>1031</v>
      </c>
      <c r="BG26" s="13">
        <v>1085</v>
      </c>
      <c r="BH26" s="13">
        <v>1227</v>
      </c>
      <c r="BI26" s="13">
        <v>1203</v>
      </c>
      <c r="BK26" s="13">
        <v>1008</v>
      </c>
      <c r="BL26" s="13">
        <v>1085</v>
      </c>
      <c r="BM26" s="13">
        <v>1081</v>
      </c>
      <c r="BN26" s="13">
        <v>1823</v>
      </c>
      <c r="BP26" s="13">
        <v>2094</v>
      </c>
      <c r="BQ26" s="13">
        <v>1662</v>
      </c>
      <c r="BR26" s="13">
        <v>1523</v>
      </c>
      <c r="BS26" s="13">
        <v>480</v>
      </c>
      <c r="BU26" s="13">
        <v>446</v>
      </c>
      <c r="BV26" s="13">
        <v>433</v>
      </c>
      <c r="BW26" s="13">
        <v>360</v>
      </c>
      <c r="BX26" s="13">
        <v>269</v>
      </c>
    </row>
    <row r="27" spans="1:76">
      <c r="A27" s="4" t="s">
        <v>131</v>
      </c>
      <c r="C27" s="13">
        <v>1091</v>
      </c>
      <c r="D27" s="13">
        <v>1160</v>
      </c>
      <c r="E27" s="13">
        <v>1153</v>
      </c>
      <c r="F27" s="13">
        <v>1084</v>
      </c>
      <c r="G27" s="15"/>
      <c r="H27" s="13">
        <v>1049</v>
      </c>
      <c r="I27" s="13">
        <v>1044</v>
      </c>
      <c r="J27" s="13">
        <v>1052</v>
      </c>
      <c r="K27" s="13">
        <v>1177</v>
      </c>
      <c r="M27" s="13">
        <v>1135</v>
      </c>
      <c r="N27" s="13">
        <v>1109</v>
      </c>
      <c r="O27" s="13">
        <v>1101</v>
      </c>
      <c r="P27" s="13">
        <v>1089</v>
      </c>
      <c r="R27" s="13">
        <v>1135</v>
      </c>
      <c r="S27" s="13">
        <v>1531</v>
      </c>
      <c r="T27" s="13">
        <v>1519</v>
      </c>
      <c r="U27" s="13">
        <v>1597</v>
      </c>
      <c r="W27" s="13">
        <v>1235</v>
      </c>
      <c r="X27" s="13">
        <v>1865</v>
      </c>
      <c r="Y27" s="13">
        <v>1833</v>
      </c>
      <c r="Z27" s="13">
        <v>1861</v>
      </c>
      <c r="AB27" s="13">
        <v>1872</v>
      </c>
      <c r="AC27" s="13">
        <v>1965</v>
      </c>
      <c r="AD27" s="13">
        <v>1904</v>
      </c>
      <c r="AE27" s="13">
        <v>1928</v>
      </c>
      <c r="AG27" s="13">
        <v>1902</v>
      </c>
      <c r="AH27" s="13">
        <v>2236</v>
      </c>
      <c r="AI27" s="13">
        <v>2339</v>
      </c>
      <c r="AJ27" s="13">
        <v>2126</v>
      </c>
      <c r="AL27" s="13">
        <v>2363</v>
      </c>
      <c r="AM27" s="13">
        <v>2730</v>
      </c>
      <c r="AN27" s="13">
        <v>3054</v>
      </c>
      <c r="AO27" s="13">
        <f>1126+1668</f>
        <v>2794</v>
      </c>
      <c r="AQ27" s="13">
        <v>3094</v>
      </c>
      <c r="AR27" s="13">
        <v>3116</v>
      </c>
      <c r="AS27" s="13">
        <v>3056</v>
      </c>
      <c r="AT27" s="13">
        <f>2998+109+139</f>
        <v>3246</v>
      </c>
      <c r="AV27" s="13">
        <v>3286</v>
      </c>
      <c r="AW27" s="13">
        <f>117.2+984.1+1998.2</f>
        <v>3099.5</v>
      </c>
      <c r="AX27" s="13">
        <v>3201</v>
      </c>
      <c r="AY27" s="13">
        <v>2960</v>
      </c>
      <c r="BA27" s="13">
        <v>3371</v>
      </c>
      <c r="BB27" s="13">
        <v>3473</v>
      </c>
      <c r="BC27" s="13">
        <v>3422</v>
      </c>
      <c r="BD27" s="13">
        <v>3452</v>
      </c>
      <c r="BF27" s="13">
        <v>3985</v>
      </c>
      <c r="BG27" s="13">
        <v>3791</v>
      </c>
      <c r="BH27" s="13">
        <v>4232</v>
      </c>
      <c r="BI27" s="13">
        <v>4004</v>
      </c>
      <c r="BK27" s="13">
        <v>4204</v>
      </c>
      <c r="BL27" s="13">
        <v>4313</v>
      </c>
      <c r="BM27" s="13">
        <v>3907</v>
      </c>
      <c r="BN27" s="13">
        <v>4171</v>
      </c>
      <c r="BP27" s="13">
        <v>4180</v>
      </c>
      <c r="BQ27" s="13">
        <v>3683</v>
      </c>
      <c r="BR27" s="13">
        <v>4011</v>
      </c>
      <c r="BS27" s="13">
        <v>3985</v>
      </c>
      <c r="BU27" s="13">
        <v>4307</v>
      </c>
      <c r="BV27" s="13">
        <v>4222</v>
      </c>
      <c r="BW27" s="13">
        <v>4227</v>
      </c>
      <c r="BX27" s="13">
        <v>3902</v>
      </c>
    </row>
    <row r="28" spans="1:76">
      <c r="A28" s="4" t="s">
        <v>132</v>
      </c>
      <c r="C28" s="25">
        <f>SUM(C21:C27)</f>
        <v>9424</v>
      </c>
      <c r="D28" s="25">
        <f>SUM(D21:D27)</f>
        <v>6907</v>
      </c>
      <c r="E28" s="25">
        <f>SUM(E21:E27)</f>
        <v>6716</v>
      </c>
      <c r="F28" s="25">
        <f>SUM(F21:F27)</f>
        <v>6446</v>
      </c>
      <c r="G28" s="15"/>
      <c r="H28" s="25">
        <f>SUM(H21:H27)</f>
        <v>6246</v>
      </c>
      <c r="I28" s="25">
        <f>SUM(I21:I27)</f>
        <v>5992</v>
      </c>
      <c r="J28" s="25">
        <f>SUM(J21:J27)</f>
        <v>5995</v>
      </c>
      <c r="K28" s="25">
        <f>SUM(K21:K27)</f>
        <v>5034</v>
      </c>
      <c r="M28" s="25">
        <f>SUM(M21:M27)</f>
        <v>4941</v>
      </c>
      <c r="N28" s="25">
        <f>SUM(N21:N27)</f>
        <v>4765</v>
      </c>
      <c r="O28" s="25">
        <f>SUM(O21:O27)</f>
        <v>4686</v>
      </c>
      <c r="P28" s="25">
        <f>SUM(P21:P27)</f>
        <v>4663</v>
      </c>
      <c r="R28" s="25">
        <f>SUM(R21:R27)</f>
        <v>4746</v>
      </c>
      <c r="S28" s="25">
        <f>SUM(S21:S27)</f>
        <v>6273</v>
      </c>
      <c r="T28" s="25">
        <f>SUM(T21:T27)</f>
        <v>6093</v>
      </c>
      <c r="U28" s="25">
        <f>SUM(U21:U27)</f>
        <v>6112</v>
      </c>
      <c r="W28" s="25">
        <f>SUM(W23:W27)</f>
        <v>4623</v>
      </c>
      <c r="X28" s="25">
        <f>SUM(X23:X27)</f>
        <v>6024</v>
      </c>
      <c r="Y28" s="25">
        <f>SUM(Y23:Y27)</f>
        <v>5856</v>
      </c>
      <c r="Z28" s="25">
        <f>SUM(Z23:Z27)</f>
        <v>5869</v>
      </c>
      <c r="AB28" s="25">
        <f>SUM(AB23:AB27)</f>
        <v>5922</v>
      </c>
      <c r="AC28" s="25">
        <f>SUM(AC23:AC27)</f>
        <v>6031</v>
      </c>
      <c r="AD28" s="25">
        <f>SUM(AD23:AD27)</f>
        <v>6102</v>
      </c>
      <c r="AE28" s="25">
        <f>SUM(AE23:AE27)</f>
        <v>6177</v>
      </c>
      <c r="AG28" s="25">
        <f>SUM(AG23:AG27)</f>
        <v>6457</v>
      </c>
      <c r="AH28" s="25">
        <f>SUM(AH23:AH27)</f>
        <v>6916</v>
      </c>
      <c r="AI28" s="25">
        <f>SUM(AI23:AI27)</f>
        <v>6890</v>
      </c>
      <c r="AJ28" s="25">
        <f>SUM(AJ23:AJ27)</f>
        <v>7350</v>
      </c>
      <c r="AL28" s="25">
        <f>SUM(AL23:AL27)</f>
        <v>7990</v>
      </c>
      <c r="AM28" s="25">
        <f>SUM(AM23:AM27)</f>
        <v>8588</v>
      </c>
      <c r="AN28" s="25">
        <f>SUM(AN23:AN27)</f>
        <v>9161</v>
      </c>
      <c r="AO28" s="25">
        <f>SUM(AO23:AO27)</f>
        <v>9099</v>
      </c>
      <c r="AQ28" s="25">
        <f>SUM(AQ23:AQ27)</f>
        <v>9655</v>
      </c>
      <c r="AR28" s="25">
        <f>SUM(AR23:AR27)</f>
        <v>10231</v>
      </c>
      <c r="AS28" s="25">
        <f>SUM(AS23:AS27)</f>
        <v>10309</v>
      </c>
      <c r="AT28" s="25">
        <f>SUM(AT23:AT27)</f>
        <v>9935</v>
      </c>
      <c r="AV28" s="25">
        <f>SUM(AV23:AV27)</f>
        <v>9735</v>
      </c>
      <c r="AW28" s="25">
        <f>SUM(AW23:AW27)</f>
        <v>9888.9</v>
      </c>
      <c r="AX28" s="25">
        <f>SUM(AX23:AX27)</f>
        <v>10093</v>
      </c>
      <c r="AY28" s="25">
        <f>SUM(AY23:AY27)</f>
        <v>10124</v>
      </c>
      <c r="BA28" s="25">
        <f>SUM(BA23:BA27)</f>
        <v>11161</v>
      </c>
      <c r="BB28" s="25">
        <f>SUM(BB23:BB27)</f>
        <v>12134</v>
      </c>
      <c r="BC28" s="25">
        <f>SUM(BC23:BC27)</f>
        <v>12353</v>
      </c>
      <c r="BD28" s="25">
        <f>SUM(BD23:BD27)</f>
        <v>12556</v>
      </c>
      <c r="BF28" s="25">
        <f>SUM(BF23:BF27)</f>
        <v>13660</v>
      </c>
      <c r="BG28" s="25">
        <f>SUM(BG23:BG27)</f>
        <v>13530</v>
      </c>
      <c r="BH28" s="25">
        <f>SUM(BH23:BH27)</f>
        <v>13607</v>
      </c>
      <c r="BI28" s="25">
        <f>SUM(BI23:BI27)</f>
        <v>13439</v>
      </c>
      <c r="BK28" s="25">
        <f>SUM(BK23:BK27)</f>
        <v>13771</v>
      </c>
      <c r="BL28" s="25">
        <f>SUM(BL23:BL27)</f>
        <v>13385</v>
      </c>
      <c r="BM28" s="25">
        <f>SUM(BM23:BM27)</f>
        <v>13208</v>
      </c>
      <c r="BN28" s="25">
        <f>SUM(BN23:BN27)</f>
        <v>12936</v>
      </c>
      <c r="BP28" s="25">
        <f>SUM(BP23:BP27)</f>
        <v>13661</v>
      </c>
      <c r="BQ28" s="25">
        <f>SUM(BQ23:BQ27)</f>
        <v>13345</v>
      </c>
      <c r="BR28" s="25">
        <f>SUM(BR23:BR27)</f>
        <v>13534</v>
      </c>
      <c r="BS28" s="25">
        <f>SUM(BS23:BS27)</f>
        <v>12994.6</v>
      </c>
      <c r="BU28" s="25">
        <f>SUM(BU23:BU27)</f>
        <v>13138</v>
      </c>
      <c r="BV28" s="25">
        <f>SUM(BV23:BV27)</f>
        <v>13051</v>
      </c>
      <c r="BW28" s="25">
        <f>SUM(BW23:BW27)</f>
        <v>13432</v>
      </c>
      <c r="BX28" s="25">
        <f>SUM(BX23:BX27)</f>
        <v>12338</v>
      </c>
    </row>
    <row r="29" spans="1:76">
      <c r="C29" s="24" t="s">
        <v>78</v>
      </c>
      <c r="D29" s="24"/>
      <c r="E29" s="24"/>
      <c r="F29" s="24"/>
      <c r="H29" s="24"/>
      <c r="I29" s="24"/>
      <c r="J29" s="24"/>
      <c r="K29" s="24"/>
      <c r="M29" s="24"/>
      <c r="N29" s="24"/>
      <c r="O29" s="24"/>
      <c r="P29" s="24"/>
      <c r="R29" s="24"/>
      <c r="S29" s="24"/>
      <c r="T29" s="24"/>
      <c r="U29" s="47"/>
      <c r="W29" s="24"/>
      <c r="X29" s="24"/>
      <c r="Y29" s="24"/>
      <c r="Z29" s="47"/>
      <c r="AB29" s="24"/>
      <c r="AC29" s="24"/>
      <c r="AD29" s="24"/>
      <c r="AE29" s="47"/>
      <c r="AG29" s="24"/>
      <c r="AH29" s="24"/>
      <c r="AI29" s="24"/>
      <c r="AJ29" s="47"/>
      <c r="AL29" s="24"/>
      <c r="AM29" s="24"/>
      <c r="AN29" s="24"/>
      <c r="AO29" s="47"/>
      <c r="AQ29" s="24"/>
      <c r="AR29" s="24"/>
      <c r="AS29" s="24"/>
      <c r="AT29" s="47"/>
      <c r="AV29" s="24"/>
      <c r="AW29" s="24"/>
      <c r="AX29" s="24"/>
      <c r="AY29" s="47"/>
      <c r="BA29" s="24"/>
      <c r="BB29" s="24"/>
      <c r="BC29" s="24"/>
      <c r="BD29" s="47"/>
      <c r="BF29" s="24"/>
      <c r="BG29" s="47"/>
      <c r="BH29" s="24"/>
      <c r="BI29" s="47"/>
      <c r="BK29" s="24"/>
      <c r="BL29" s="47"/>
      <c r="BM29" s="24"/>
      <c r="BN29" s="47"/>
      <c r="BP29" s="24"/>
      <c r="BQ29" s="47"/>
      <c r="BR29" s="24"/>
      <c r="BS29" s="47"/>
      <c r="BU29" s="24"/>
      <c r="BV29" s="47"/>
      <c r="BW29" s="24"/>
      <c r="BX29" s="47"/>
    </row>
    <row r="30" spans="1:76">
      <c r="C30" s="24"/>
      <c r="D30" s="24"/>
      <c r="E30" s="24"/>
      <c r="F30" s="24"/>
      <c r="H30" s="24"/>
      <c r="I30" s="24"/>
      <c r="J30" s="24"/>
      <c r="K30" s="24"/>
      <c r="M30" s="24"/>
      <c r="N30" s="24"/>
      <c r="O30" s="24"/>
      <c r="P30" s="24"/>
      <c r="R30" s="24"/>
      <c r="S30" s="24"/>
      <c r="T30" s="24"/>
      <c r="U30" s="47"/>
      <c r="W30" s="24"/>
      <c r="X30" s="24"/>
      <c r="Y30" s="24"/>
      <c r="Z30" s="47"/>
      <c r="AB30" s="24"/>
      <c r="AC30" s="24"/>
      <c r="AD30" s="24"/>
      <c r="AE30" s="47"/>
      <c r="AG30" s="24"/>
      <c r="AH30" s="24"/>
      <c r="AI30" s="24"/>
      <c r="AJ30" s="47"/>
      <c r="AL30" s="24"/>
      <c r="AM30" s="24"/>
      <c r="AN30" s="24"/>
      <c r="AO30" s="47"/>
      <c r="AQ30" s="24"/>
      <c r="AR30" s="24"/>
      <c r="AS30" s="24"/>
      <c r="AT30" s="47"/>
      <c r="AV30" s="24"/>
      <c r="AW30" s="24"/>
      <c r="AX30" s="24"/>
      <c r="AY30" s="47"/>
      <c r="BA30" s="24"/>
      <c r="BB30" s="24"/>
      <c r="BC30" s="24"/>
      <c r="BD30" s="47"/>
      <c r="BF30" s="24"/>
      <c r="BG30" s="24"/>
      <c r="BH30" s="24"/>
      <c r="BI30" s="47"/>
      <c r="BK30" s="24"/>
      <c r="BL30" s="24"/>
      <c r="BM30" s="24"/>
      <c r="BN30" s="47"/>
      <c r="BP30" s="24"/>
      <c r="BQ30" s="24"/>
      <c r="BR30" s="24"/>
      <c r="BS30" s="47"/>
      <c r="BU30" s="24"/>
      <c r="BV30" s="24"/>
      <c r="BW30" s="24"/>
      <c r="BX30" s="47"/>
    </row>
    <row r="32" spans="1:76">
      <c r="A32" s="1"/>
      <c r="B32" s="2"/>
      <c r="C32" s="113">
        <v>2001</v>
      </c>
      <c r="D32" s="113"/>
      <c r="E32" s="113"/>
      <c r="F32" s="113"/>
      <c r="H32" s="113">
        <v>2002</v>
      </c>
      <c r="I32" s="113"/>
      <c r="J32" s="113"/>
      <c r="K32" s="113"/>
      <c r="L32" s="21"/>
      <c r="M32" s="113">
        <v>2003</v>
      </c>
      <c r="N32" s="113"/>
      <c r="O32" s="113"/>
      <c r="P32" s="113"/>
      <c r="Q32" s="21"/>
      <c r="R32" s="113">
        <v>2004</v>
      </c>
      <c r="S32" s="113"/>
      <c r="T32" s="113"/>
      <c r="U32" s="113"/>
      <c r="V32" s="21"/>
      <c r="W32" s="113">
        <v>2004</v>
      </c>
      <c r="X32" s="113"/>
      <c r="Y32" s="113"/>
      <c r="Z32" s="113"/>
      <c r="AA32" s="21"/>
      <c r="AB32" s="113">
        <v>2005</v>
      </c>
      <c r="AC32" s="113"/>
      <c r="AD32" s="113"/>
      <c r="AE32" s="113"/>
      <c r="AF32" s="21"/>
      <c r="AG32" s="113">
        <v>2006</v>
      </c>
      <c r="AH32" s="113"/>
      <c r="AI32" s="113"/>
      <c r="AJ32" s="113"/>
      <c r="AK32" s="21"/>
      <c r="AL32" s="113">
        <v>2007</v>
      </c>
      <c r="AM32" s="113"/>
      <c r="AN32" s="113"/>
      <c r="AO32" s="113"/>
      <c r="AP32" s="21"/>
      <c r="AQ32" s="113">
        <v>2008</v>
      </c>
      <c r="AR32" s="113"/>
      <c r="AS32" s="113"/>
      <c r="AT32" s="113"/>
      <c r="AU32" s="21"/>
      <c r="AV32" s="113">
        <v>2009</v>
      </c>
      <c r="AW32" s="113"/>
      <c r="AX32" s="113"/>
      <c r="AY32" s="113"/>
      <c r="BA32" s="113">
        <v>2010</v>
      </c>
      <c r="BB32" s="113"/>
      <c r="BC32" s="113"/>
      <c r="BD32" s="113"/>
      <c r="BF32" s="113">
        <v>2011</v>
      </c>
      <c r="BG32" s="113"/>
      <c r="BH32" s="113"/>
      <c r="BI32" s="113"/>
      <c r="BK32" s="113">
        <v>2012</v>
      </c>
      <c r="BL32" s="113"/>
      <c r="BM32" s="113"/>
      <c r="BN32" s="113"/>
      <c r="BP32" s="113">
        <v>2013</v>
      </c>
      <c r="BQ32" s="113"/>
      <c r="BR32" s="113"/>
      <c r="BS32" s="113"/>
      <c r="BU32" s="113">
        <v>2014</v>
      </c>
      <c r="BV32" s="113"/>
      <c r="BW32" s="113"/>
      <c r="BX32" s="113"/>
    </row>
    <row r="33" spans="1:76">
      <c r="A33" s="5" t="s">
        <v>133</v>
      </c>
      <c r="B33" s="6"/>
      <c r="C33" s="103" t="s">
        <v>10</v>
      </c>
      <c r="D33" s="103" t="s">
        <v>11</v>
      </c>
      <c r="E33" s="103" t="s">
        <v>12</v>
      </c>
      <c r="F33" s="103" t="s">
        <v>13</v>
      </c>
      <c r="G33" s="8"/>
      <c r="H33" s="103" t="s">
        <v>10</v>
      </c>
      <c r="I33" s="103" t="s">
        <v>11</v>
      </c>
      <c r="J33" s="103" t="s">
        <v>12</v>
      </c>
      <c r="K33" s="103" t="s">
        <v>13</v>
      </c>
      <c r="L33" s="22"/>
      <c r="M33" s="103" t="s">
        <v>10</v>
      </c>
      <c r="N33" s="103" t="s">
        <v>11</v>
      </c>
      <c r="O33" s="103" t="s">
        <v>12</v>
      </c>
      <c r="P33" s="103" t="s">
        <v>13</v>
      </c>
      <c r="Q33" s="22"/>
      <c r="R33" s="103" t="s">
        <v>10</v>
      </c>
      <c r="S33" s="103" t="s">
        <v>11</v>
      </c>
      <c r="T33" s="103" t="s">
        <v>12</v>
      </c>
      <c r="U33" s="103" t="s">
        <v>13</v>
      </c>
      <c r="V33" s="22"/>
      <c r="W33" s="103" t="s">
        <v>10</v>
      </c>
      <c r="X33" s="103" t="s">
        <v>11</v>
      </c>
      <c r="Y33" s="103" t="s">
        <v>12</v>
      </c>
      <c r="Z33" s="103" t="s">
        <v>13</v>
      </c>
      <c r="AA33" s="22"/>
      <c r="AB33" s="103" t="s">
        <v>10</v>
      </c>
      <c r="AC33" s="103" t="s">
        <v>11</v>
      </c>
      <c r="AD33" s="103" t="s">
        <v>12</v>
      </c>
      <c r="AE33" s="103" t="s">
        <v>13</v>
      </c>
      <c r="AF33" s="22"/>
      <c r="AG33" s="103" t="s">
        <v>10</v>
      </c>
      <c r="AH33" s="103" t="s">
        <v>11</v>
      </c>
      <c r="AI33" s="103" t="s">
        <v>12</v>
      </c>
      <c r="AJ33" s="103" t="s">
        <v>13</v>
      </c>
      <c r="AK33" s="22"/>
      <c r="AL33" s="103" t="s">
        <v>10</v>
      </c>
      <c r="AM33" s="103" t="s">
        <v>11</v>
      </c>
      <c r="AN33" s="103" t="s">
        <v>12</v>
      </c>
      <c r="AO33" s="103" t="s">
        <v>13</v>
      </c>
      <c r="AP33" s="22"/>
      <c r="AQ33" s="103" t="s">
        <v>10</v>
      </c>
      <c r="AR33" s="103" t="s">
        <v>11</v>
      </c>
      <c r="AS33" s="103" t="s">
        <v>12</v>
      </c>
      <c r="AT33" s="103" t="s">
        <v>13</v>
      </c>
      <c r="AU33" s="22"/>
      <c r="AV33" s="103" t="s">
        <v>10</v>
      </c>
      <c r="AW33" s="103" t="s">
        <v>11</v>
      </c>
      <c r="AX33" s="103" t="s">
        <v>12</v>
      </c>
      <c r="AY33" s="103" t="s">
        <v>13</v>
      </c>
      <c r="BA33" s="103" t="s">
        <v>10</v>
      </c>
      <c r="BB33" s="103" t="s">
        <v>11</v>
      </c>
      <c r="BC33" s="103" t="s">
        <v>12</v>
      </c>
      <c r="BD33" s="103" t="s">
        <v>13</v>
      </c>
      <c r="BF33" s="103" t="s">
        <v>10</v>
      </c>
      <c r="BG33" s="103" t="s">
        <v>11</v>
      </c>
      <c r="BH33" s="103" t="s">
        <v>12</v>
      </c>
      <c r="BI33" s="103" t="s">
        <v>13</v>
      </c>
      <c r="BK33" s="103" t="s">
        <v>10</v>
      </c>
      <c r="BL33" s="103" t="s">
        <v>11</v>
      </c>
      <c r="BM33" s="103" t="s">
        <v>12</v>
      </c>
      <c r="BN33" s="103" t="s">
        <v>13</v>
      </c>
      <c r="BP33" s="103" t="s">
        <v>10</v>
      </c>
      <c r="BQ33" s="103" t="s">
        <v>11</v>
      </c>
      <c r="BR33" s="103" t="s">
        <v>12</v>
      </c>
      <c r="BS33" s="103" t="s">
        <v>13</v>
      </c>
      <c r="BU33" s="103" t="s">
        <v>10</v>
      </c>
      <c r="BV33" s="103" t="s">
        <v>11</v>
      </c>
      <c r="BW33" s="103" t="s">
        <v>12</v>
      </c>
      <c r="BX33" s="103" t="s">
        <v>13</v>
      </c>
    </row>
    <row r="35" spans="1:76">
      <c r="A35" s="4" t="s">
        <v>69</v>
      </c>
      <c r="C35" s="13">
        <v>4149</v>
      </c>
      <c r="D35" s="13">
        <f>C43</f>
        <v>6397</v>
      </c>
      <c r="E35" s="13">
        <f>D43</f>
        <v>3894</v>
      </c>
      <c r="F35" s="13">
        <f>E43</f>
        <v>3790</v>
      </c>
      <c r="G35" s="15"/>
      <c r="H35" s="13">
        <f>F43</f>
        <v>3762</v>
      </c>
      <c r="I35" s="13">
        <f>H43</f>
        <v>3741</v>
      </c>
      <c r="J35" s="13">
        <f>I43</f>
        <v>3554</v>
      </c>
      <c r="K35" s="13">
        <f>J43</f>
        <v>3547</v>
      </c>
      <c r="M35" s="13">
        <f>K43</f>
        <v>2898</v>
      </c>
      <c r="N35" s="13">
        <f>M43</f>
        <v>2880</v>
      </c>
      <c r="O35" s="13">
        <f>N43</f>
        <v>2787</v>
      </c>
      <c r="P35" s="13">
        <f>O43</f>
        <v>2815</v>
      </c>
      <c r="R35" s="13">
        <v>2831</v>
      </c>
      <c r="S35" s="13">
        <f>R43</f>
        <v>2837</v>
      </c>
      <c r="T35" s="13">
        <f>S43</f>
        <v>2689</v>
      </c>
      <c r="U35" s="13">
        <f>T43</f>
        <v>2804</v>
      </c>
      <c r="W35" s="13">
        <v>2957</v>
      </c>
      <c r="X35" s="13">
        <f>W43</f>
        <v>2783</v>
      </c>
      <c r="Y35" s="13">
        <f>X43</f>
        <v>2534</v>
      </c>
      <c r="Z35" s="13">
        <f>Y43</f>
        <v>2674</v>
      </c>
      <c r="AB35" s="13">
        <f>Z43</f>
        <v>2750</v>
      </c>
      <c r="AC35" s="13">
        <f>AB43</f>
        <v>2800</v>
      </c>
      <c r="AD35" s="13">
        <f>AC43</f>
        <v>2762</v>
      </c>
      <c r="AE35" s="13">
        <f>AD43</f>
        <v>2636</v>
      </c>
      <c r="AG35" s="13">
        <f>AE43</f>
        <v>2735</v>
      </c>
      <c r="AH35" s="13">
        <f>AG43</f>
        <v>2775</v>
      </c>
      <c r="AI35" s="13">
        <f>AH43</f>
        <v>2597</v>
      </c>
      <c r="AJ35" s="13">
        <f>AI43</f>
        <v>2677</v>
      </c>
      <c r="AL35" s="13">
        <f>AJ43</f>
        <v>2806</v>
      </c>
      <c r="AM35" s="13">
        <f>+AL43</f>
        <v>2907</v>
      </c>
      <c r="AN35" s="13">
        <f>+AM43</f>
        <v>2872</v>
      </c>
      <c r="AO35" s="13">
        <f>+AN43</f>
        <v>2989</v>
      </c>
      <c r="AQ35" s="13">
        <f>+AO43</f>
        <v>3283</v>
      </c>
      <c r="AR35" s="13">
        <f>+AQ43</f>
        <v>3376</v>
      </c>
      <c r="AS35" s="13">
        <f>+AR43</f>
        <v>3397</v>
      </c>
      <c r="AT35" s="13">
        <f>+AS43</f>
        <v>3644</v>
      </c>
      <c r="AV35" s="13">
        <f>+AT43</f>
        <v>3464.7</v>
      </c>
      <c r="AW35" s="13">
        <f>+AV43</f>
        <v>3482.7</v>
      </c>
      <c r="AX35" s="13">
        <f>+AW43</f>
        <v>3541.7</v>
      </c>
      <c r="AY35" s="13">
        <f>+AX43</f>
        <v>3578.7</v>
      </c>
      <c r="BA35" s="13">
        <f>+AY43</f>
        <v>3739.7</v>
      </c>
      <c r="BB35" s="13">
        <f>+BA43</f>
        <v>3831.7</v>
      </c>
      <c r="BC35" s="13">
        <f>+BB43</f>
        <v>4052.7</v>
      </c>
      <c r="BD35" s="13">
        <f>+BC43</f>
        <v>3998.7</v>
      </c>
      <c r="BF35" s="13">
        <f>+BD43</f>
        <v>4111.7</v>
      </c>
      <c r="BG35" s="13">
        <f>+BF43</f>
        <v>3993.7</v>
      </c>
      <c r="BH35" s="13">
        <f>+BG43</f>
        <v>3988.7</v>
      </c>
      <c r="BI35" s="13">
        <f>+BH43</f>
        <v>4005.7</v>
      </c>
      <c r="BK35" s="13">
        <f>+BI43</f>
        <v>4065.7</v>
      </c>
      <c r="BL35" s="13">
        <f>+BK43</f>
        <v>4121.7</v>
      </c>
      <c r="BM35" s="13">
        <f>+BL43</f>
        <v>5557.7</v>
      </c>
      <c r="BN35" s="13">
        <f>+BM43</f>
        <v>5656.7</v>
      </c>
      <c r="BP35" s="57">
        <f>+BN43</f>
        <v>5736.7</v>
      </c>
      <c r="BQ35" s="57">
        <f>+BP43</f>
        <v>5578.7</v>
      </c>
      <c r="BR35" s="13">
        <f>+BQ43</f>
        <v>5609.7</v>
      </c>
      <c r="BS35" s="13">
        <f>+BR43</f>
        <v>5617.7</v>
      </c>
      <c r="BU35" s="57">
        <f>+BS43</f>
        <v>5673.7</v>
      </c>
      <c r="BV35" s="57">
        <f>+BU43</f>
        <v>5605.7</v>
      </c>
      <c r="BW35" s="13">
        <f>+BV43</f>
        <v>5690.7</v>
      </c>
      <c r="BX35" s="13">
        <f>+BW43</f>
        <v>5918.7</v>
      </c>
    </row>
    <row r="36" spans="1:76">
      <c r="A36" s="4" t="s">
        <v>34</v>
      </c>
      <c r="C36" s="19">
        <v>2584</v>
      </c>
      <c r="D36" s="19">
        <v>0</v>
      </c>
      <c r="E36" s="19">
        <v>0</v>
      </c>
      <c r="F36" s="19">
        <v>0</v>
      </c>
      <c r="G36" s="15"/>
      <c r="H36" s="19">
        <v>0</v>
      </c>
      <c r="I36" s="19">
        <v>0</v>
      </c>
      <c r="J36" s="19">
        <v>0</v>
      </c>
      <c r="K36" s="19">
        <v>0</v>
      </c>
      <c r="M36" s="19">
        <v>0</v>
      </c>
      <c r="N36" s="19">
        <v>0</v>
      </c>
      <c r="O36" s="19">
        <v>0</v>
      </c>
      <c r="P36" s="19">
        <v>0</v>
      </c>
      <c r="R36" s="19">
        <v>0</v>
      </c>
      <c r="S36" s="19">
        <v>0</v>
      </c>
      <c r="T36" s="19">
        <v>0</v>
      </c>
      <c r="U36" s="19">
        <v>0</v>
      </c>
      <c r="W36" s="19">
        <v>-194</v>
      </c>
      <c r="X36" s="19">
        <v>0</v>
      </c>
      <c r="Y36" s="19">
        <v>0</v>
      </c>
      <c r="Z36" s="19">
        <v>0</v>
      </c>
      <c r="AB36" s="19"/>
      <c r="AC36" s="19">
        <v>0</v>
      </c>
      <c r="AD36" s="19">
        <v>0</v>
      </c>
      <c r="AE36" s="19">
        <v>0</v>
      </c>
      <c r="AG36" s="19">
        <v>0</v>
      </c>
      <c r="AH36" s="19">
        <v>0</v>
      </c>
      <c r="AI36" s="19">
        <v>0</v>
      </c>
      <c r="AJ36" s="19">
        <v>0</v>
      </c>
      <c r="AL36" s="19">
        <v>0</v>
      </c>
      <c r="AM36" s="19">
        <v>0</v>
      </c>
      <c r="AN36" s="19">
        <v>0</v>
      </c>
      <c r="AO36" s="19">
        <v>0</v>
      </c>
      <c r="AQ36" s="19">
        <v>0</v>
      </c>
      <c r="AR36" s="19">
        <v>0</v>
      </c>
      <c r="AS36" s="19">
        <v>0</v>
      </c>
      <c r="AT36" s="19">
        <v>0</v>
      </c>
      <c r="AV36" s="19">
        <v>0</v>
      </c>
      <c r="AW36" s="19">
        <v>0</v>
      </c>
      <c r="AX36" s="19">
        <v>0</v>
      </c>
      <c r="AY36" s="19">
        <v>0</v>
      </c>
      <c r="BA36" s="19">
        <v>0</v>
      </c>
      <c r="BB36" s="19">
        <v>0</v>
      </c>
      <c r="BC36" s="19">
        <v>0</v>
      </c>
      <c r="BD36" s="19">
        <v>0</v>
      </c>
      <c r="BF36" s="19">
        <v>0</v>
      </c>
      <c r="BG36" s="19">
        <v>0</v>
      </c>
      <c r="BH36" s="19">
        <v>0</v>
      </c>
      <c r="BI36" s="19">
        <v>0</v>
      </c>
      <c r="BK36" s="19">
        <v>0</v>
      </c>
      <c r="BL36" s="19">
        <v>0</v>
      </c>
      <c r="BM36" s="19">
        <v>0</v>
      </c>
      <c r="BN36" s="19">
        <v>0</v>
      </c>
      <c r="BP36" s="72">
        <v>0</v>
      </c>
      <c r="BQ36" s="72">
        <v>0</v>
      </c>
      <c r="BR36" s="19">
        <v>0</v>
      </c>
      <c r="BS36" s="19">
        <v>0</v>
      </c>
      <c r="BU36" s="72">
        <v>0</v>
      </c>
      <c r="BV36" s="72">
        <v>0</v>
      </c>
      <c r="BW36" s="19">
        <v>0</v>
      </c>
      <c r="BX36" s="19">
        <v>0</v>
      </c>
    </row>
    <row r="37" spans="1:76">
      <c r="A37" s="4" t="s">
        <v>158</v>
      </c>
      <c r="C37" s="13">
        <f>SUM(C35:C36)</f>
        <v>6733</v>
      </c>
      <c r="D37" s="13">
        <f>SUM(D35:D36)</f>
        <v>6397</v>
      </c>
      <c r="E37" s="13">
        <f>SUM(E35:E36)</f>
        <v>3894</v>
      </c>
      <c r="F37" s="13">
        <f>SUM(F35:F36)</f>
        <v>3790</v>
      </c>
      <c r="G37" s="15"/>
      <c r="H37" s="13">
        <f>SUM(H35:H36)</f>
        <v>3762</v>
      </c>
      <c r="I37" s="13">
        <f>SUM(I35:I36)</f>
        <v>3741</v>
      </c>
      <c r="J37" s="13">
        <f>SUM(J35:J36)</f>
        <v>3554</v>
      </c>
      <c r="K37" s="13">
        <f>SUM(K35:K36)</f>
        <v>3547</v>
      </c>
      <c r="M37" s="13">
        <f>SUM(M35:M36)</f>
        <v>2898</v>
      </c>
      <c r="N37" s="13">
        <f>SUM(N35:N36)</f>
        <v>2880</v>
      </c>
      <c r="O37" s="13">
        <f>SUM(O35:O36)</f>
        <v>2787</v>
      </c>
      <c r="P37" s="13">
        <f>SUM(P35:P36)</f>
        <v>2815</v>
      </c>
      <c r="R37" s="13">
        <f>SUM(R35:R36)</f>
        <v>2831</v>
      </c>
      <c r="S37" s="13">
        <f>SUM(S35:S36)</f>
        <v>2837</v>
      </c>
      <c r="T37" s="13">
        <f>SUM(T35:T36)</f>
        <v>2689</v>
      </c>
      <c r="U37" s="13">
        <f>SUM(U35:U36)</f>
        <v>2804</v>
      </c>
      <c r="W37" s="13">
        <f>SUM(W35:W36)</f>
        <v>2763</v>
      </c>
      <c r="X37" s="13">
        <f>SUM(X35:X36)</f>
        <v>2783</v>
      </c>
      <c r="Y37" s="13">
        <f>SUM(Y35:Y36)</f>
        <v>2534</v>
      </c>
      <c r="Z37" s="13">
        <f>SUM(Z35:Z36)</f>
        <v>2674</v>
      </c>
      <c r="AB37" s="13">
        <f>SUM(AB35:AB36)</f>
        <v>2750</v>
      </c>
      <c r="AC37" s="13">
        <f>SUM(AC35:AC36)</f>
        <v>2800</v>
      </c>
      <c r="AD37" s="13">
        <f>SUM(AD35:AD36)</f>
        <v>2762</v>
      </c>
      <c r="AE37" s="13">
        <f>SUM(AE35:AE36)</f>
        <v>2636</v>
      </c>
      <c r="AG37" s="13">
        <f>SUM(AG35:AG36)</f>
        <v>2735</v>
      </c>
      <c r="AH37" s="13">
        <f>SUM(AH35:AH36)</f>
        <v>2775</v>
      </c>
      <c r="AI37" s="13">
        <f>SUM(AI35:AI36)</f>
        <v>2597</v>
      </c>
      <c r="AJ37" s="13">
        <f>SUM(AJ35:AJ36)</f>
        <v>2677</v>
      </c>
      <c r="AL37" s="13">
        <f>SUM(AL35:AL36)</f>
        <v>2806</v>
      </c>
      <c r="AM37" s="13">
        <f>SUM(AM35:AM36)</f>
        <v>2907</v>
      </c>
      <c r="AN37" s="13">
        <f>SUM(AN35:AN36)</f>
        <v>2872</v>
      </c>
      <c r="AO37" s="13">
        <f>SUM(AO35:AO36)</f>
        <v>2989</v>
      </c>
      <c r="AQ37" s="13">
        <f>SUM(AQ35:AQ36)</f>
        <v>3283</v>
      </c>
      <c r="AR37" s="13">
        <f>SUM(AR35:AR36)</f>
        <v>3376</v>
      </c>
      <c r="AS37" s="13">
        <f>SUM(AS35:AS36)</f>
        <v>3397</v>
      </c>
      <c r="AT37" s="13">
        <f>SUM(AT35:AT36)</f>
        <v>3644</v>
      </c>
      <c r="AV37" s="13">
        <f>SUM(AV35:AV36)</f>
        <v>3464.7</v>
      </c>
      <c r="AW37" s="13">
        <f>SUM(AW35:AW36)</f>
        <v>3482.7</v>
      </c>
      <c r="AX37" s="13">
        <f>SUM(AX35:AX36)</f>
        <v>3541.7</v>
      </c>
      <c r="AY37" s="13">
        <f>SUM(AY35:AY36)</f>
        <v>3578.7</v>
      </c>
      <c r="BA37" s="13">
        <f>SUM(BA35:BA36)</f>
        <v>3739.7</v>
      </c>
      <c r="BB37" s="13">
        <f>SUM(BB35:BB36)</f>
        <v>3831.7</v>
      </c>
      <c r="BC37" s="13">
        <f>SUM(BC35:BC36)</f>
        <v>4052.7</v>
      </c>
      <c r="BD37" s="13">
        <f>SUM(BD35:BD36)</f>
        <v>3998.7</v>
      </c>
      <c r="BF37" s="13">
        <f>SUM(BF35:BF36)</f>
        <v>4111.7</v>
      </c>
      <c r="BG37" s="13">
        <f>SUM(BG35:BG36)</f>
        <v>3993.7</v>
      </c>
      <c r="BH37" s="13">
        <f>SUM(BH35:BH36)</f>
        <v>3988.7</v>
      </c>
      <c r="BI37" s="13">
        <f>SUM(BI35:BI36)</f>
        <v>4005.7</v>
      </c>
      <c r="BK37" s="13">
        <f>SUM(BK35:BK36)</f>
        <v>4065.7</v>
      </c>
      <c r="BL37" s="13">
        <f>SUM(BL35:BL36)</f>
        <v>4121.7</v>
      </c>
      <c r="BM37" s="13">
        <f>SUM(BM35:BM36)</f>
        <v>5557.7</v>
      </c>
      <c r="BN37" s="13">
        <f>SUM(BN35:BN36)</f>
        <v>5656.7</v>
      </c>
      <c r="BP37" s="57">
        <f>SUM(BP35:BP36)</f>
        <v>5736.7</v>
      </c>
      <c r="BQ37" s="57">
        <f>SUM(BQ35:BQ36)</f>
        <v>5578.7</v>
      </c>
      <c r="BR37" s="57">
        <f>SUM(BR35:BR36)</f>
        <v>5609.7</v>
      </c>
      <c r="BS37" s="57">
        <f>SUM(BS35:BS36)</f>
        <v>5617.7</v>
      </c>
      <c r="BU37" s="57">
        <f>SUM(BU35:BU36)</f>
        <v>5673.7</v>
      </c>
      <c r="BV37" s="57">
        <f>SUM(BV35:BV36)</f>
        <v>5605.7</v>
      </c>
      <c r="BW37" s="57">
        <f>SUM(BW35:BW36)</f>
        <v>5690.7</v>
      </c>
      <c r="BX37" s="57">
        <f>SUM(BX35:BX36)</f>
        <v>5918.7</v>
      </c>
    </row>
    <row r="38" spans="1:76">
      <c r="A38" s="4" t="s">
        <v>134</v>
      </c>
      <c r="C38" s="13">
        <f>' Financial Highlights'!C21</f>
        <v>-1</v>
      </c>
      <c r="D38" s="13">
        <f>' Financial Highlights'!D21</f>
        <v>76</v>
      </c>
      <c r="E38" s="13">
        <f>' Financial Highlights'!E21</f>
        <v>-46</v>
      </c>
      <c r="F38" s="13">
        <f>' Financial Highlights'!F21</f>
        <v>-62</v>
      </c>
      <c r="G38" s="15"/>
      <c r="H38" s="13">
        <f>' Financial Highlights'!I21</f>
        <v>-32</v>
      </c>
      <c r="I38" s="13">
        <f>' Financial Highlights'!J21</f>
        <v>-23</v>
      </c>
      <c r="J38" s="13">
        <f>' Financial Highlights'!K21</f>
        <v>0</v>
      </c>
      <c r="K38" s="13">
        <f>' Financial Highlights'!L21</f>
        <v>-641</v>
      </c>
      <c r="M38" s="13">
        <v>-2</v>
      </c>
      <c r="N38" s="13">
        <v>23</v>
      </c>
      <c r="O38" s="13">
        <v>33</v>
      </c>
      <c r="P38" s="13">
        <v>31</v>
      </c>
      <c r="R38" s="13">
        <v>3</v>
      </c>
      <c r="S38" s="13">
        <v>45</v>
      </c>
      <c r="T38" s="13">
        <v>108</v>
      </c>
      <c r="U38" s="13">
        <v>106</v>
      </c>
      <c r="W38" s="13">
        <f>' Financial Highlights'!AA19</f>
        <v>17</v>
      </c>
      <c r="X38" s="13">
        <f>' Financial Highlights'!AB19</f>
        <v>-59</v>
      </c>
      <c r="Y38" s="13">
        <f>' Financial Highlights'!AC19</f>
        <v>134</v>
      </c>
      <c r="Z38" s="13">
        <f>' Financial Highlights'!AD19</f>
        <v>106</v>
      </c>
      <c r="AB38" s="13">
        <v>53</v>
      </c>
      <c r="AC38" s="13">
        <v>105</v>
      </c>
      <c r="AD38" s="13">
        <v>117</v>
      </c>
      <c r="AE38" s="13">
        <v>86</v>
      </c>
      <c r="AG38" s="13">
        <v>85</v>
      </c>
      <c r="AH38" s="13">
        <v>228</v>
      </c>
      <c r="AI38" s="13">
        <v>146</v>
      </c>
      <c r="AJ38" s="13">
        <v>144</v>
      </c>
      <c r="AL38" s="13">
        <v>120</v>
      </c>
      <c r="AM38" s="13">
        <v>224</v>
      </c>
      <c r="AN38" s="13">
        <v>167</v>
      </c>
      <c r="AO38" s="13">
        <v>309</v>
      </c>
      <c r="AQ38" s="13">
        <v>138</v>
      </c>
      <c r="AR38" s="13">
        <v>232</v>
      </c>
      <c r="AS38" s="13">
        <v>139</v>
      </c>
      <c r="AT38" s="13">
        <v>-105</v>
      </c>
      <c r="AV38" s="39">
        <v>0</v>
      </c>
      <c r="AW38" s="82">
        <v>94</v>
      </c>
      <c r="AX38" s="13">
        <v>71</v>
      </c>
      <c r="AY38" s="13">
        <v>73</v>
      </c>
      <c r="BA38" s="39">
        <v>65</v>
      </c>
      <c r="BB38" s="82">
        <v>97</v>
      </c>
      <c r="BC38" s="13">
        <v>80</v>
      </c>
      <c r="BD38" s="13">
        <v>28</v>
      </c>
      <c r="BF38" s="13">
        <f>+' Financial Highlights'!BQ19</f>
        <v>51</v>
      </c>
      <c r="BG38" s="13">
        <f>+' Financial Highlights'!BR19</f>
        <v>30</v>
      </c>
      <c r="BH38" s="13">
        <f>+' Financial Highlights'!BS19</f>
        <v>43</v>
      </c>
      <c r="BI38" s="13">
        <f>+' Financial Highlights'!BT19</f>
        <v>3</v>
      </c>
      <c r="BK38" s="13">
        <v>31</v>
      </c>
      <c r="BL38" s="13">
        <f>+' Financial Highlights'!BX19</f>
        <v>1439</v>
      </c>
      <c r="BM38" s="13">
        <f>+' Financial Highlights'!BY19</f>
        <v>37</v>
      </c>
      <c r="BN38" s="13">
        <f>+' Financial Highlights'!BZ19</f>
        <v>99</v>
      </c>
      <c r="BP38" s="57">
        <v>25</v>
      </c>
      <c r="BQ38" s="57">
        <v>76</v>
      </c>
      <c r="BR38" s="13">
        <v>53</v>
      </c>
      <c r="BS38" s="57">
        <v>99</v>
      </c>
      <c r="BU38" s="57">
        <f>+' Financial Highlights'!CI19</f>
        <v>87</v>
      </c>
      <c r="BV38" s="57">
        <f>+' Financial Highlights'!CJ19</f>
        <v>47</v>
      </c>
      <c r="BW38" s="57">
        <f>+' Financial Highlights'!CK19</f>
        <v>60</v>
      </c>
      <c r="BX38" s="57">
        <f>+' Financial Highlights'!CL19</f>
        <v>86</v>
      </c>
    </row>
    <row r="39" spans="1:76">
      <c r="A39" s="4" t="s">
        <v>188</v>
      </c>
      <c r="C39" s="13"/>
      <c r="D39" s="13"/>
      <c r="E39" s="13"/>
      <c r="F39" s="13"/>
      <c r="G39" s="15"/>
      <c r="H39" s="13"/>
      <c r="I39" s="13"/>
      <c r="J39" s="13"/>
      <c r="K39" s="13"/>
      <c r="M39" s="13"/>
      <c r="N39" s="13"/>
      <c r="O39" s="13"/>
      <c r="P39" s="13"/>
      <c r="R39" s="13"/>
      <c r="S39" s="13"/>
      <c r="T39" s="13"/>
      <c r="U39" s="13"/>
      <c r="W39" s="13"/>
      <c r="X39" s="13"/>
      <c r="Y39" s="13"/>
      <c r="Z39" s="13"/>
      <c r="AB39" s="13"/>
      <c r="AC39" s="13"/>
      <c r="AD39" s="13"/>
      <c r="AE39" s="13"/>
      <c r="AG39" s="13"/>
      <c r="AH39" s="13"/>
      <c r="AI39" s="13"/>
      <c r="AJ39" s="13"/>
      <c r="AL39" s="13"/>
      <c r="AM39" s="13"/>
      <c r="AN39" s="13"/>
      <c r="AO39" s="13"/>
      <c r="AQ39" s="13"/>
      <c r="AR39" s="13"/>
      <c r="AS39" s="13"/>
      <c r="AT39" s="13"/>
      <c r="AV39" s="39"/>
      <c r="AW39" s="82"/>
      <c r="AX39" s="13"/>
      <c r="AY39" s="13"/>
      <c r="BA39" s="39"/>
      <c r="BB39" s="82"/>
      <c r="BC39" s="13"/>
      <c r="BD39" s="13"/>
      <c r="BF39" s="13"/>
      <c r="BG39" s="13"/>
      <c r="BH39" s="13"/>
      <c r="BI39" s="13"/>
      <c r="BK39" s="13"/>
      <c r="BL39" s="13"/>
      <c r="BM39" s="13"/>
      <c r="BN39" s="13"/>
      <c r="BP39" s="57">
        <v>-28</v>
      </c>
      <c r="BQ39" s="57">
        <v>0</v>
      </c>
      <c r="BR39" s="13">
        <v>0</v>
      </c>
      <c r="BS39" s="57">
        <v>-2</v>
      </c>
      <c r="BU39" s="57">
        <v>0</v>
      </c>
      <c r="BV39" s="57">
        <v>0</v>
      </c>
      <c r="BW39" s="13">
        <v>0</v>
      </c>
      <c r="BX39" s="57">
        <v>-68</v>
      </c>
    </row>
    <row r="40" spans="1:76">
      <c r="A40" s="4" t="s">
        <v>135</v>
      </c>
      <c r="C40" s="13">
        <v>33</v>
      </c>
      <c r="D40" s="13">
        <v>33</v>
      </c>
      <c r="E40" s="13">
        <v>-58</v>
      </c>
      <c r="F40" s="13">
        <v>40</v>
      </c>
      <c r="G40" s="15"/>
      <c r="H40" s="13">
        <v>7</v>
      </c>
      <c r="I40" s="13">
        <v>-65</v>
      </c>
      <c r="J40" s="13">
        <v>-7</v>
      </c>
      <c r="K40" s="13">
        <v>-8</v>
      </c>
      <c r="M40" s="13">
        <v>-19</v>
      </c>
      <c r="N40" s="13">
        <v>-18</v>
      </c>
      <c r="O40" s="13">
        <v>-5</v>
      </c>
      <c r="P40" s="13">
        <v>-15</v>
      </c>
      <c r="R40" s="13">
        <v>3</v>
      </c>
      <c r="S40" s="13">
        <v>3</v>
      </c>
      <c r="T40" s="13">
        <v>7</v>
      </c>
      <c r="U40" s="13">
        <v>-51</v>
      </c>
      <c r="W40" s="13">
        <v>3</v>
      </c>
      <c r="X40" s="13">
        <v>6</v>
      </c>
      <c r="Y40" s="13">
        <v>6</v>
      </c>
      <c r="Z40" s="13">
        <v>-30</v>
      </c>
      <c r="AB40" s="13">
        <v>9</v>
      </c>
      <c r="AC40" s="13">
        <v>53</v>
      </c>
      <c r="AD40" s="13">
        <v>33</v>
      </c>
      <c r="AE40" s="13">
        <v>13</v>
      </c>
      <c r="AG40" s="13">
        <v>19</v>
      </c>
      <c r="AH40" s="13">
        <v>-125</v>
      </c>
      <c r="AI40" s="13">
        <v>-66</v>
      </c>
      <c r="AJ40" s="13">
        <v>-15</v>
      </c>
      <c r="AL40" s="13">
        <v>-26</v>
      </c>
      <c r="AM40" s="13">
        <v>-33</v>
      </c>
      <c r="AN40" s="13">
        <v>-50</v>
      </c>
      <c r="AO40" s="13">
        <v>-15</v>
      </c>
      <c r="AQ40" s="13">
        <v>-49</v>
      </c>
      <c r="AR40" s="13">
        <v>37</v>
      </c>
      <c r="AS40" s="13">
        <v>107</v>
      </c>
      <c r="AT40" s="13">
        <v>-75.3</v>
      </c>
      <c r="AV40" s="57">
        <v>17</v>
      </c>
      <c r="AW40" s="82">
        <v>-37</v>
      </c>
      <c r="AX40" s="82">
        <v>-35</v>
      </c>
      <c r="AY40" s="57">
        <v>87</v>
      </c>
      <c r="BA40" s="57">
        <f>-3+111</f>
        <v>108</v>
      </c>
      <c r="BB40" s="57">
        <v>119</v>
      </c>
      <c r="BC40" s="82">
        <v>-135</v>
      </c>
      <c r="BD40" s="57">
        <v>84</v>
      </c>
      <c r="BF40" s="57">
        <v>-123</v>
      </c>
      <c r="BG40" s="57">
        <v>-37</v>
      </c>
      <c r="BH40" s="82">
        <v>-27</v>
      </c>
      <c r="BI40" s="57">
        <v>57</v>
      </c>
      <c r="BK40" s="57">
        <v>50</v>
      </c>
      <c r="BL40" s="57">
        <v>-4</v>
      </c>
      <c r="BM40" s="82">
        <v>60</v>
      </c>
      <c r="BN40" s="57">
        <v>-20</v>
      </c>
      <c r="BP40" s="57">
        <v>28</v>
      </c>
      <c r="BQ40" s="57">
        <v>-46</v>
      </c>
      <c r="BR40" s="82">
        <v>-46</v>
      </c>
      <c r="BS40" s="57">
        <v>-45</v>
      </c>
      <c r="BU40" s="57">
        <v>-72</v>
      </c>
      <c r="BV40" s="57">
        <v>37</v>
      </c>
      <c r="BW40" s="82">
        <v>168</v>
      </c>
      <c r="BX40" s="57">
        <v>38</v>
      </c>
    </row>
    <row r="41" spans="1:76">
      <c r="A41" s="4" t="s">
        <v>136</v>
      </c>
      <c r="C41" s="13">
        <v>-368</v>
      </c>
      <c r="D41" s="13">
        <v>194</v>
      </c>
      <c r="E41" s="13">
        <v>0</v>
      </c>
      <c r="F41" s="13">
        <v>-6</v>
      </c>
      <c r="G41" s="15"/>
      <c r="H41" s="13">
        <v>4</v>
      </c>
      <c r="I41" s="13">
        <v>1</v>
      </c>
      <c r="J41" s="13">
        <v>0</v>
      </c>
      <c r="K41" s="13">
        <v>0</v>
      </c>
      <c r="M41" s="13">
        <v>3</v>
      </c>
      <c r="N41" s="13">
        <v>2</v>
      </c>
      <c r="O41" s="13">
        <v>0</v>
      </c>
      <c r="P41" s="13">
        <v>0</v>
      </c>
      <c r="R41" s="13">
        <v>0</v>
      </c>
      <c r="S41" s="13">
        <v>4</v>
      </c>
      <c r="T41" s="13">
        <v>0</v>
      </c>
      <c r="U41" s="13">
        <v>0</v>
      </c>
      <c r="W41" s="13"/>
      <c r="X41" s="13">
        <v>4</v>
      </c>
      <c r="Y41" s="13"/>
      <c r="Z41" s="13"/>
      <c r="AB41" s="13">
        <v>-12</v>
      </c>
      <c r="AC41" s="13"/>
      <c r="AD41" s="13">
        <v>-276</v>
      </c>
      <c r="AE41" s="13"/>
      <c r="AG41" s="13">
        <v>-64</v>
      </c>
      <c r="AH41" s="13">
        <v>13</v>
      </c>
      <c r="AI41" s="13">
        <v>0</v>
      </c>
      <c r="AJ41" s="13">
        <v>0</v>
      </c>
      <c r="AL41" s="13">
        <v>7</v>
      </c>
      <c r="AM41" s="13">
        <v>10</v>
      </c>
      <c r="AN41" s="13">
        <v>0</v>
      </c>
      <c r="AO41" s="13">
        <v>0</v>
      </c>
      <c r="AQ41" s="13">
        <v>4</v>
      </c>
      <c r="AR41" s="13">
        <v>12</v>
      </c>
      <c r="AS41" s="13">
        <v>1</v>
      </c>
      <c r="AT41" s="13">
        <v>1</v>
      </c>
      <c r="AV41" s="57">
        <v>1</v>
      </c>
      <c r="AW41" s="82">
        <v>2</v>
      </c>
      <c r="AX41" s="57">
        <v>1</v>
      </c>
      <c r="AY41" s="57">
        <v>1</v>
      </c>
      <c r="BA41" s="57">
        <v>2</v>
      </c>
      <c r="BB41" s="82">
        <v>5</v>
      </c>
      <c r="BC41" s="57">
        <v>1</v>
      </c>
      <c r="BD41" s="57">
        <v>1</v>
      </c>
      <c r="BF41" s="57">
        <v>1</v>
      </c>
      <c r="BG41" s="82">
        <v>2</v>
      </c>
      <c r="BH41" s="57">
        <v>1</v>
      </c>
      <c r="BI41" s="57">
        <v>0</v>
      </c>
      <c r="BK41" s="57">
        <f>1+22</f>
        <v>23</v>
      </c>
      <c r="BL41" s="82">
        <v>1</v>
      </c>
      <c r="BM41" s="57">
        <v>2</v>
      </c>
      <c r="BN41" s="57">
        <v>1</v>
      </c>
      <c r="BP41" s="57">
        <v>8</v>
      </c>
      <c r="BQ41" s="57">
        <v>1</v>
      </c>
      <c r="BR41" s="57">
        <v>1</v>
      </c>
      <c r="BS41" s="57">
        <v>4</v>
      </c>
      <c r="BU41" s="57">
        <v>1</v>
      </c>
      <c r="BV41" s="57">
        <v>1</v>
      </c>
      <c r="BW41" s="57">
        <v>0</v>
      </c>
      <c r="BX41" s="57">
        <v>0</v>
      </c>
    </row>
    <row r="42" spans="1:76">
      <c r="A42" s="4" t="s">
        <v>181</v>
      </c>
      <c r="C42" s="13">
        <v>0</v>
      </c>
      <c r="D42" s="13">
        <v>-2806</v>
      </c>
      <c r="E42" s="13">
        <v>0</v>
      </c>
      <c r="F42" s="13">
        <v>0</v>
      </c>
      <c r="G42" s="15"/>
      <c r="H42" s="13">
        <v>0</v>
      </c>
      <c r="I42" s="13">
        <v>-100</v>
      </c>
      <c r="J42" s="13">
        <v>0</v>
      </c>
      <c r="K42" s="13">
        <v>0</v>
      </c>
      <c r="M42" s="13">
        <v>0</v>
      </c>
      <c r="N42" s="13">
        <v>-100</v>
      </c>
      <c r="O42" s="13">
        <v>0</v>
      </c>
      <c r="P42" s="13">
        <v>0</v>
      </c>
      <c r="R42" s="13">
        <v>0</v>
      </c>
      <c r="S42" s="13">
        <v>-200</v>
      </c>
      <c r="T42" s="13">
        <v>0</v>
      </c>
      <c r="U42" s="13">
        <v>0</v>
      </c>
      <c r="W42" s="13">
        <v>0</v>
      </c>
      <c r="X42" s="13">
        <v>-200</v>
      </c>
      <c r="Y42" s="13">
        <v>0</v>
      </c>
      <c r="Z42" s="13">
        <v>0</v>
      </c>
      <c r="AB42" s="13">
        <v>0</v>
      </c>
      <c r="AC42" s="13">
        <v>-196</v>
      </c>
      <c r="AD42" s="13">
        <v>0</v>
      </c>
      <c r="AE42" s="13">
        <v>0</v>
      </c>
      <c r="AG42" s="13">
        <v>0</v>
      </c>
      <c r="AH42" s="13">
        <v>-294</v>
      </c>
      <c r="AI42" s="13">
        <v>0</v>
      </c>
      <c r="AJ42" s="13">
        <v>0</v>
      </c>
      <c r="AL42" s="13">
        <v>0</v>
      </c>
      <c r="AM42" s="13">
        <v>-236</v>
      </c>
      <c r="AN42" s="13">
        <v>0</v>
      </c>
      <c r="AO42" s="13">
        <v>0</v>
      </c>
      <c r="AQ42" s="13">
        <v>0</v>
      </c>
      <c r="AR42" s="13">
        <v>-260</v>
      </c>
      <c r="AS42" s="13">
        <v>0</v>
      </c>
      <c r="AT42" s="13">
        <v>0</v>
      </c>
      <c r="AV42" s="13">
        <v>0</v>
      </c>
      <c r="AW42" s="82">
        <v>0</v>
      </c>
      <c r="AX42" s="82">
        <v>0</v>
      </c>
      <c r="AY42" s="82">
        <v>0</v>
      </c>
      <c r="BA42" s="13">
        <v>-83</v>
      </c>
      <c r="BB42" s="82">
        <v>0</v>
      </c>
      <c r="BC42" s="82">
        <v>0</v>
      </c>
      <c r="BD42" s="82">
        <v>0</v>
      </c>
      <c r="BF42" s="13">
        <v>-47</v>
      </c>
      <c r="BG42" s="82">
        <v>0</v>
      </c>
      <c r="BH42" s="82">
        <v>0</v>
      </c>
      <c r="BI42" s="57">
        <v>0</v>
      </c>
      <c r="BK42" s="13">
        <v>-48</v>
      </c>
      <c r="BL42" s="82">
        <v>0</v>
      </c>
      <c r="BM42" s="82">
        <v>0</v>
      </c>
      <c r="BN42" s="57">
        <v>0</v>
      </c>
      <c r="BP42" s="57">
        <v>-191</v>
      </c>
      <c r="BQ42" s="57">
        <v>0</v>
      </c>
      <c r="BR42" s="82">
        <v>0</v>
      </c>
      <c r="BS42" s="57">
        <v>0</v>
      </c>
      <c r="BU42" s="57">
        <v>-84</v>
      </c>
      <c r="BV42" s="57">
        <v>0</v>
      </c>
      <c r="BW42" s="82">
        <v>0</v>
      </c>
      <c r="BX42" s="57">
        <v>0</v>
      </c>
    </row>
    <row r="43" spans="1:76">
      <c r="A43" s="4" t="s">
        <v>70</v>
      </c>
      <c r="C43" s="25">
        <f>SUM(C37:C42)</f>
        <v>6397</v>
      </c>
      <c r="D43" s="25">
        <f>SUM(D37:D42)</f>
        <v>3894</v>
      </c>
      <c r="E43" s="25">
        <f>SUM(E37:E42)</f>
        <v>3790</v>
      </c>
      <c r="F43" s="25">
        <f>SUM(F37:F42)</f>
        <v>3762</v>
      </c>
      <c r="G43" s="15"/>
      <c r="H43" s="25">
        <f>SUM(H37:H42)</f>
        <v>3741</v>
      </c>
      <c r="I43" s="25">
        <f>SUM(I37:I42)</f>
        <v>3554</v>
      </c>
      <c r="J43" s="25">
        <f>SUM(J37:J42)</f>
        <v>3547</v>
      </c>
      <c r="K43" s="25">
        <f>SUM(K37:K42)</f>
        <v>2898</v>
      </c>
      <c r="M43" s="25">
        <f>SUM(M37:M42)</f>
        <v>2880</v>
      </c>
      <c r="N43" s="25">
        <f>SUM(N37:N42)</f>
        <v>2787</v>
      </c>
      <c r="O43" s="25">
        <f>SUM(O37:O42)</f>
        <v>2815</v>
      </c>
      <c r="P43" s="25">
        <f>SUM(P37:P42)</f>
        <v>2831</v>
      </c>
      <c r="R43" s="25">
        <f>SUM(R37:R42)</f>
        <v>2837</v>
      </c>
      <c r="S43" s="25">
        <f>SUM(S37:S42)</f>
        <v>2689</v>
      </c>
      <c r="T43" s="25">
        <f>SUM(T37:T42)</f>
        <v>2804</v>
      </c>
      <c r="U43" s="25">
        <f>SUM(U37:U42)</f>
        <v>2859</v>
      </c>
      <c r="W43" s="25">
        <f>SUM(W37:W42)</f>
        <v>2783</v>
      </c>
      <c r="X43" s="25">
        <f>SUM(X37:X42)</f>
        <v>2534</v>
      </c>
      <c r="Y43" s="25">
        <f>SUM(Y37:Y42)</f>
        <v>2674</v>
      </c>
      <c r="Z43" s="25">
        <f>SUM(Z37:Z42)</f>
        <v>2750</v>
      </c>
      <c r="AB43" s="25">
        <f>SUM(AB37:AB42)</f>
        <v>2800</v>
      </c>
      <c r="AC43" s="25">
        <f>SUM(AC37:AC42)</f>
        <v>2762</v>
      </c>
      <c r="AD43" s="25">
        <f>SUM(AD37:AD42)</f>
        <v>2636</v>
      </c>
      <c r="AE43" s="25">
        <f>SUM(AE37:AE42)</f>
        <v>2735</v>
      </c>
      <c r="AG43" s="25">
        <f>SUM(AG37:AG42)</f>
        <v>2775</v>
      </c>
      <c r="AH43" s="25">
        <f>SUM(AH37:AH42)</f>
        <v>2597</v>
      </c>
      <c r="AI43" s="25">
        <f>SUM(AI37:AI42)</f>
        <v>2677</v>
      </c>
      <c r="AJ43" s="25">
        <f>SUM(AJ37:AJ42)</f>
        <v>2806</v>
      </c>
      <c r="AL43" s="25">
        <f>SUM(AL37:AL42)</f>
        <v>2907</v>
      </c>
      <c r="AM43" s="25">
        <f>SUM(AM37:AM42)</f>
        <v>2872</v>
      </c>
      <c r="AN43" s="25">
        <f>SUM(AN37:AN42)</f>
        <v>2989</v>
      </c>
      <c r="AO43" s="25">
        <f>SUM(AO37:AO42)</f>
        <v>3283</v>
      </c>
      <c r="AQ43" s="25">
        <f>SUM(AQ37:AQ42)</f>
        <v>3376</v>
      </c>
      <c r="AR43" s="25">
        <f>SUM(AR37:AR42)</f>
        <v>3397</v>
      </c>
      <c r="AS43" s="25">
        <f>SUM(AS37:AS42)</f>
        <v>3644</v>
      </c>
      <c r="AT43" s="25">
        <f>SUM(AT37:AT42)</f>
        <v>3464.7</v>
      </c>
      <c r="AV43" s="25">
        <f>SUM(AV37:AV42)</f>
        <v>3482.7</v>
      </c>
      <c r="AW43" s="25">
        <f>SUM(AW37:AW42)</f>
        <v>3541.7</v>
      </c>
      <c r="AX43" s="25">
        <f>SUM(AX37:AX42)</f>
        <v>3578.7</v>
      </c>
      <c r="AY43" s="25">
        <f>SUM(AY37:AY42)</f>
        <v>3739.7</v>
      </c>
      <c r="BA43" s="25">
        <f>SUM(BA37:BA42)</f>
        <v>3831.7</v>
      </c>
      <c r="BB43" s="25">
        <f>SUM(BB37:BB42)</f>
        <v>4052.7</v>
      </c>
      <c r="BC43" s="25">
        <f>SUM(BC37:BC42)</f>
        <v>3998.7</v>
      </c>
      <c r="BD43" s="25">
        <f>SUM(BD37:BD42)</f>
        <v>4111.7</v>
      </c>
      <c r="BF43" s="25">
        <f>SUM(BF37:BF42)</f>
        <v>3993.7</v>
      </c>
      <c r="BG43" s="25">
        <f>SUM(BG37:BG42)</f>
        <v>3988.7</v>
      </c>
      <c r="BH43" s="25">
        <f>SUM(BH37:BH42)</f>
        <v>4005.7</v>
      </c>
      <c r="BI43" s="25">
        <f>SUM(BI37:BI42)</f>
        <v>4065.7</v>
      </c>
      <c r="BK43" s="25">
        <f>SUM(BK37:BK42)</f>
        <v>4121.7</v>
      </c>
      <c r="BL43" s="25">
        <f>SUM(BL37:BL42)</f>
        <v>5557.7</v>
      </c>
      <c r="BM43" s="102">
        <f>SUM(BM37:BM42)</f>
        <v>5656.7</v>
      </c>
      <c r="BN43" s="25">
        <f>SUM(BN37:BN42)</f>
        <v>5736.7</v>
      </c>
      <c r="BP43" s="102">
        <f>SUM(BP37:BP42)</f>
        <v>5578.7</v>
      </c>
      <c r="BQ43" s="102">
        <f>SUM(BQ37:BQ42)</f>
        <v>5609.7</v>
      </c>
      <c r="BR43" s="102">
        <f>SUM(BR37:BR42)</f>
        <v>5617.7</v>
      </c>
      <c r="BS43" s="102">
        <f>SUM(BS37:BS42)</f>
        <v>5673.7</v>
      </c>
      <c r="BU43" s="102">
        <f>SUM(BU37:BU42)</f>
        <v>5605.7</v>
      </c>
      <c r="BV43" s="102">
        <f>SUM(BV37:BV42)</f>
        <v>5690.7</v>
      </c>
      <c r="BW43" s="102">
        <f>SUM(BW37:BW42)</f>
        <v>5918.7</v>
      </c>
      <c r="BX43" s="102">
        <f>SUM(BX37:BX42)</f>
        <v>5974.7</v>
      </c>
    </row>
    <row r="44" spans="1:76">
      <c r="AV44" s="13"/>
      <c r="AW44" s="13"/>
      <c r="AX44" s="13"/>
      <c r="AY44" s="13"/>
      <c r="BA44" s="13"/>
      <c r="BB44" s="13"/>
      <c r="BC44" s="13"/>
      <c r="BD44" s="13"/>
      <c r="BP44" s="9"/>
      <c r="BQ44" s="9"/>
      <c r="BU44" s="104"/>
      <c r="BV44" s="9"/>
    </row>
  </sheetData>
  <mergeCells count="45">
    <mergeCell ref="C1:G1"/>
    <mergeCell ref="H1:L1"/>
    <mergeCell ref="M1:Q1"/>
    <mergeCell ref="R1:V1"/>
    <mergeCell ref="W1:Z1"/>
    <mergeCell ref="AL1:AO1"/>
    <mergeCell ref="AQ1:AT1"/>
    <mergeCell ref="AL2:AO2"/>
    <mergeCell ref="AV2:AY2"/>
    <mergeCell ref="AQ32:AT32"/>
    <mergeCell ref="AB1:AE1"/>
    <mergeCell ref="W32:Z32"/>
    <mergeCell ref="W2:Z2"/>
    <mergeCell ref="AG32:AJ32"/>
    <mergeCell ref="M32:P32"/>
    <mergeCell ref="AB2:AE2"/>
    <mergeCell ref="R2:U2"/>
    <mergeCell ref="AG1:AJ1"/>
    <mergeCell ref="BK2:BN2"/>
    <mergeCell ref="BA32:BD32"/>
    <mergeCell ref="BF32:BI32"/>
    <mergeCell ref="BK32:BN32"/>
    <mergeCell ref="C32:F32"/>
    <mergeCell ref="H32:K32"/>
    <mergeCell ref="C2:F2"/>
    <mergeCell ref="H2:K2"/>
    <mergeCell ref="AB32:AE32"/>
    <mergeCell ref="M2:P2"/>
    <mergeCell ref="AL32:AO32"/>
    <mergeCell ref="BU1:BX1"/>
    <mergeCell ref="BU2:BX2"/>
    <mergeCell ref="BU32:BX32"/>
    <mergeCell ref="R32:U32"/>
    <mergeCell ref="BK1:BN1"/>
    <mergeCell ref="BA1:BD1"/>
    <mergeCell ref="BA2:BD2"/>
    <mergeCell ref="AV32:AY32"/>
    <mergeCell ref="BF1:BI1"/>
    <mergeCell ref="BF2:BI2"/>
    <mergeCell ref="AG2:AJ2"/>
    <mergeCell ref="BP1:BS1"/>
    <mergeCell ref="BP2:BS2"/>
    <mergeCell ref="BP32:BS32"/>
    <mergeCell ref="AV1:AY1"/>
    <mergeCell ref="AQ2:AT2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37"/>
  <sheetViews>
    <sheetView showGridLines="0" zoomScaleNormal="100" zoomScaleSheetLayoutView="75" workbookViewId="0">
      <pane xSplit="1" ySplit="3" topLeftCell="BT16" activePane="bottomRight" state="frozen"/>
      <selection activeCell="D13" sqref="D13:K13"/>
      <selection pane="topRight" activeCell="D13" sqref="D13:K13"/>
      <selection pane="bottomLeft" activeCell="D13" sqref="D13:K13"/>
      <selection pane="bottomRight" activeCell="D13" sqref="D13:K13"/>
    </sheetView>
  </sheetViews>
  <sheetFormatPr defaultColWidth="9.140625" defaultRowHeight="12.75"/>
  <cols>
    <col min="1" max="1" width="36.140625" style="4" customWidth="1"/>
    <col min="2" max="2" width="4.28515625" style="9" customWidth="1"/>
    <col min="3" max="6" width="9.140625" style="4" customWidth="1"/>
    <col min="7" max="7" width="9.140625" style="11" customWidth="1"/>
    <col min="8" max="8" width="4.7109375" style="3" customWidth="1"/>
    <col min="9" max="12" width="9.140625" style="4" customWidth="1"/>
    <col min="13" max="13" width="9.140625" style="11" customWidth="1"/>
    <col min="14" max="14" width="4.85546875" style="4" customWidth="1"/>
    <col min="15" max="18" width="9.140625" style="4" customWidth="1"/>
    <col min="19" max="19" width="9.140625" style="11" customWidth="1"/>
    <col min="20" max="20" width="4.85546875" style="4" customWidth="1"/>
    <col min="21" max="24" width="9.140625" style="4" customWidth="1"/>
    <col min="25" max="25" width="9.140625" style="11" customWidth="1"/>
    <col min="26" max="26" width="4.85546875" style="4" customWidth="1"/>
    <col min="27" max="29" width="9.140625" style="4" customWidth="1"/>
    <col min="30" max="30" width="9.28515625" style="4" customWidth="1"/>
    <col min="31" max="31" width="9.28515625" style="11" customWidth="1"/>
    <col min="32" max="32" width="4.85546875" style="4" customWidth="1"/>
    <col min="33" max="36" width="9.28515625" style="4" customWidth="1"/>
    <col min="37" max="37" width="9.28515625" style="11" customWidth="1"/>
    <col min="38" max="38" width="4.85546875" style="4" customWidth="1"/>
    <col min="39" max="39" width="9.28515625" style="4" customWidth="1"/>
    <col min="40" max="41" width="9.42578125" style="4" customWidth="1"/>
    <col min="42" max="42" width="9.85546875" style="4" customWidth="1"/>
    <col min="43" max="43" width="9.85546875" style="11" customWidth="1"/>
    <col min="44" max="44" width="4.85546875" style="4" customWidth="1"/>
    <col min="45" max="47" width="9.85546875" style="4" customWidth="1"/>
    <col min="48" max="48" width="9.28515625" style="4" customWidth="1"/>
    <col min="49" max="49" width="9.85546875" style="11" customWidth="1"/>
    <col min="50" max="50" width="4.85546875" style="4" customWidth="1"/>
    <col min="51" max="51" width="9.85546875" style="4" customWidth="1" collapsed="1"/>
    <col min="52" max="53" width="9.85546875" style="4" customWidth="1"/>
    <col min="54" max="54" width="9.28515625" style="4" customWidth="1"/>
    <col min="55" max="55" width="9.85546875" style="11" customWidth="1"/>
    <col min="56" max="56" width="4.85546875" style="4" customWidth="1"/>
    <col min="57" max="59" width="9.85546875" style="4" customWidth="1"/>
    <col min="60" max="60" width="9.28515625" style="4" customWidth="1"/>
    <col min="61" max="61" width="9.85546875" style="11" customWidth="1"/>
    <col min="62" max="62" width="2.28515625" style="4" customWidth="1"/>
    <col min="63" max="65" width="9.85546875" style="4" customWidth="1"/>
    <col min="66" max="66" width="9.28515625" style="4" customWidth="1"/>
    <col min="67" max="67" width="9.85546875" style="11" bestFit="1" customWidth="1"/>
    <col min="68" max="68" width="2.28515625" style="4" customWidth="1"/>
    <col min="69" max="73" width="9.140625" style="4"/>
    <col min="74" max="74" width="3.42578125" style="4" customWidth="1"/>
    <col min="75" max="79" width="9.140625" style="4"/>
    <col min="80" max="80" width="3.140625" style="4" customWidth="1"/>
    <col min="81" max="85" width="9.140625" style="4"/>
    <col min="86" max="86" width="3.140625" style="4" customWidth="1"/>
    <col min="87" max="16384" width="9.140625" style="4"/>
  </cols>
  <sheetData>
    <row r="1" spans="1:91">
      <c r="C1" s="112" t="s">
        <v>144</v>
      </c>
      <c r="D1" s="112"/>
      <c r="E1" s="112"/>
      <c r="F1" s="112"/>
      <c r="G1" s="112"/>
      <c r="I1" s="112" t="s">
        <v>144</v>
      </c>
      <c r="J1" s="112"/>
      <c r="K1" s="112"/>
      <c r="L1" s="112"/>
      <c r="M1" s="112"/>
      <c r="O1" s="112" t="s">
        <v>144</v>
      </c>
      <c r="P1" s="112"/>
      <c r="Q1" s="112"/>
      <c r="R1" s="112"/>
      <c r="S1" s="112"/>
      <c r="U1" s="112" t="s">
        <v>144</v>
      </c>
      <c r="V1" s="112"/>
      <c r="W1" s="112"/>
      <c r="X1" s="112"/>
      <c r="Y1" s="112"/>
      <c r="AA1" s="112" t="s">
        <v>120</v>
      </c>
      <c r="AB1" s="112"/>
      <c r="AC1" s="112"/>
      <c r="AD1" s="112"/>
      <c r="AE1" s="112"/>
      <c r="AG1" s="112" t="s">
        <v>120</v>
      </c>
      <c r="AH1" s="112"/>
      <c r="AI1" s="112"/>
      <c r="AJ1" s="112"/>
      <c r="AK1" s="112"/>
      <c r="AM1" s="112" t="s">
        <v>120</v>
      </c>
      <c r="AN1" s="112"/>
      <c r="AO1" s="112"/>
      <c r="AP1" s="112"/>
      <c r="AQ1" s="112"/>
      <c r="AS1" s="112" t="s">
        <v>120</v>
      </c>
      <c r="AT1" s="112"/>
      <c r="AU1" s="112"/>
      <c r="AV1" s="112"/>
      <c r="AW1" s="112"/>
      <c r="AY1" s="112" t="s">
        <v>120</v>
      </c>
      <c r="AZ1" s="112"/>
      <c r="BA1" s="112"/>
      <c r="BB1" s="112"/>
      <c r="BC1" s="112"/>
      <c r="BE1" s="112" t="s">
        <v>120</v>
      </c>
      <c r="BF1" s="112"/>
      <c r="BG1" s="112"/>
      <c r="BH1" s="112"/>
      <c r="BI1" s="112"/>
      <c r="BK1" s="112" t="s">
        <v>120</v>
      </c>
      <c r="BL1" s="112"/>
      <c r="BM1" s="112"/>
      <c r="BN1" s="112"/>
      <c r="BO1" s="112"/>
      <c r="BQ1" s="112" t="s">
        <v>120</v>
      </c>
      <c r="BR1" s="112"/>
      <c r="BS1" s="112"/>
      <c r="BT1" s="112"/>
      <c r="BU1" s="112"/>
      <c r="BW1" s="112" t="s">
        <v>120</v>
      </c>
      <c r="BX1" s="112"/>
      <c r="BY1" s="112"/>
      <c r="BZ1" s="112"/>
      <c r="CA1" s="112"/>
      <c r="CC1" s="112" t="s">
        <v>120</v>
      </c>
      <c r="CD1" s="112"/>
      <c r="CE1" s="112"/>
      <c r="CF1" s="112"/>
      <c r="CG1" s="112"/>
      <c r="CI1" s="112" t="s">
        <v>120</v>
      </c>
      <c r="CJ1" s="112"/>
      <c r="CK1" s="112"/>
      <c r="CL1" s="112"/>
      <c r="CM1" s="112"/>
    </row>
    <row r="2" spans="1:91">
      <c r="BU2" s="11"/>
      <c r="CA2" s="11"/>
      <c r="CG2" s="11"/>
      <c r="CM2" s="11"/>
    </row>
    <row r="3" spans="1:91">
      <c r="A3" s="1" t="s">
        <v>46</v>
      </c>
      <c r="B3" s="2"/>
      <c r="C3" s="113">
        <v>2001</v>
      </c>
      <c r="D3" s="113"/>
      <c r="E3" s="113"/>
      <c r="F3" s="113"/>
      <c r="G3" s="113"/>
      <c r="I3" s="113">
        <v>2002</v>
      </c>
      <c r="J3" s="113"/>
      <c r="K3" s="113"/>
      <c r="L3" s="113"/>
      <c r="M3" s="113"/>
      <c r="O3" s="113">
        <v>2003</v>
      </c>
      <c r="P3" s="113"/>
      <c r="Q3" s="113"/>
      <c r="R3" s="113"/>
      <c r="S3" s="113"/>
      <c r="U3" s="113">
        <v>2004</v>
      </c>
      <c r="V3" s="113"/>
      <c r="W3" s="113"/>
      <c r="X3" s="113"/>
      <c r="Y3" s="113"/>
      <c r="AA3" s="113">
        <v>2004</v>
      </c>
      <c r="AB3" s="113"/>
      <c r="AC3" s="113"/>
      <c r="AD3" s="113"/>
      <c r="AE3" s="113"/>
      <c r="AG3" s="113">
        <v>2005</v>
      </c>
      <c r="AH3" s="113"/>
      <c r="AI3" s="113"/>
      <c r="AJ3" s="113"/>
      <c r="AK3" s="113"/>
      <c r="AM3" s="113">
        <v>2006</v>
      </c>
      <c r="AN3" s="113"/>
      <c r="AO3" s="113"/>
      <c r="AP3" s="113"/>
      <c r="AQ3" s="113"/>
      <c r="AS3" s="113">
        <v>2007</v>
      </c>
      <c r="AT3" s="113"/>
      <c r="AU3" s="113"/>
      <c r="AV3" s="113"/>
      <c r="AW3" s="113"/>
      <c r="AY3" s="113">
        <v>2008</v>
      </c>
      <c r="AZ3" s="113"/>
      <c r="BA3" s="113"/>
      <c r="BB3" s="113"/>
      <c r="BC3" s="113"/>
      <c r="BE3" s="113">
        <v>2009</v>
      </c>
      <c r="BF3" s="113"/>
      <c r="BG3" s="113"/>
      <c r="BH3" s="113"/>
      <c r="BI3" s="113"/>
      <c r="BK3" s="113">
        <v>2010</v>
      </c>
      <c r="BL3" s="113"/>
      <c r="BM3" s="113"/>
      <c r="BN3" s="113"/>
      <c r="BO3" s="113"/>
      <c r="BQ3" s="113">
        <v>2011</v>
      </c>
      <c r="BR3" s="113"/>
      <c r="BS3" s="113"/>
      <c r="BT3" s="113"/>
      <c r="BU3" s="113"/>
      <c r="BW3" s="113">
        <v>2012</v>
      </c>
      <c r="BX3" s="113"/>
      <c r="BY3" s="113"/>
      <c r="BZ3" s="113"/>
      <c r="CA3" s="113"/>
      <c r="CC3" s="113">
        <v>2013</v>
      </c>
      <c r="CD3" s="113"/>
      <c r="CE3" s="113"/>
      <c r="CF3" s="113"/>
      <c r="CG3" s="113"/>
      <c r="CI3" s="113">
        <v>2014</v>
      </c>
      <c r="CJ3" s="113"/>
      <c r="CK3" s="113"/>
      <c r="CL3" s="113"/>
      <c r="CM3" s="113"/>
    </row>
    <row r="4" spans="1:91">
      <c r="A4" s="5" t="s">
        <v>209</v>
      </c>
      <c r="B4" s="6"/>
      <c r="C4" s="103" t="s">
        <v>10</v>
      </c>
      <c r="D4" s="103" t="s">
        <v>11</v>
      </c>
      <c r="E4" s="103" t="s">
        <v>12</v>
      </c>
      <c r="F4" s="103" t="s">
        <v>13</v>
      </c>
      <c r="G4" s="7" t="s">
        <v>14</v>
      </c>
      <c r="H4" s="8"/>
      <c r="I4" s="103" t="s">
        <v>10</v>
      </c>
      <c r="J4" s="103" t="s">
        <v>11</v>
      </c>
      <c r="K4" s="103" t="s">
        <v>12</v>
      </c>
      <c r="L4" s="103" t="s">
        <v>13</v>
      </c>
      <c r="M4" s="7" t="s">
        <v>14</v>
      </c>
      <c r="O4" s="103" t="s">
        <v>10</v>
      </c>
      <c r="P4" s="103" t="s">
        <v>11</v>
      </c>
      <c r="Q4" s="103" t="s">
        <v>12</v>
      </c>
      <c r="R4" s="103" t="s">
        <v>13</v>
      </c>
      <c r="S4" s="7" t="s">
        <v>14</v>
      </c>
      <c r="U4" s="103" t="s">
        <v>10</v>
      </c>
      <c r="V4" s="103" t="s">
        <v>11</v>
      </c>
      <c r="W4" s="103" t="s">
        <v>12</v>
      </c>
      <c r="X4" s="103" t="s">
        <v>13</v>
      </c>
      <c r="Y4" s="7" t="s">
        <v>14</v>
      </c>
      <c r="AA4" s="103" t="s">
        <v>10</v>
      </c>
      <c r="AB4" s="103" t="s">
        <v>11</v>
      </c>
      <c r="AC4" s="103" t="s">
        <v>12</v>
      </c>
      <c r="AD4" s="103" t="s">
        <v>13</v>
      </c>
      <c r="AE4" s="7" t="s">
        <v>14</v>
      </c>
      <c r="AG4" s="103" t="s">
        <v>10</v>
      </c>
      <c r="AH4" s="103" t="s">
        <v>11</v>
      </c>
      <c r="AI4" s="103" t="s">
        <v>12</v>
      </c>
      <c r="AJ4" s="103" t="s">
        <v>13</v>
      </c>
      <c r="AK4" s="7" t="s">
        <v>14</v>
      </c>
      <c r="AM4" s="103" t="s">
        <v>10</v>
      </c>
      <c r="AN4" s="103" t="s">
        <v>11</v>
      </c>
      <c r="AO4" s="103" t="s">
        <v>12</v>
      </c>
      <c r="AP4" s="103" t="s">
        <v>13</v>
      </c>
      <c r="AQ4" s="7" t="s">
        <v>14</v>
      </c>
      <c r="AS4" s="103" t="s">
        <v>10</v>
      </c>
      <c r="AT4" s="103" t="s">
        <v>11</v>
      </c>
      <c r="AU4" s="103" t="s">
        <v>12</v>
      </c>
      <c r="AV4" s="103" t="s">
        <v>13</v>
      </c>
      <c r="AW4" s="7" t="s">
        <v>14</v>
      </c>
      <c r="AY4" s="103" t="s">
        <v>10</v>
      </c>
      <c r="AZ4" s="103" t="s">
        <v>11</v>
      </c>
      <c r="BA4" s="103" t="s">
        <v>12</v>
      </c>
      <c r="BB4" s="103" t="s">
        <v>13</v>
      </c>
      <c r="BC4" s="7" t="s">
        <v>14</v>
      </c>
      <c r="BE4" s="103" t="s">
        <v>10</v>
      </c>
      <c r="BF4" s="103" t="s">
        <v>11</v>
      </c>
      <c r="BG4" s="103" t="s">
        <v>12</v>
      </c>
      <c r="BH4" s="103" t="s">
        <v>13</v>
      </c>
      <c r="BI4" s="7" t="s">
        <v>14</v>
      </c>
      <c r="BK4" s="103" t="s">
        <v>10</v>
      </c>
      <c r="BL4" s="103" t="s">
        <v>11</v>
      </c>
      <c r="BM4" s="103" t="s">
        <v>12</v>
      </c>
      <c r="BN4" s="103" t="s">
        <v>13</v>
      </c>
      <c r="BO4" s="7" t="s">
        <v>14</v>
      </c>
      <c r="BQ4" s="103" t="s">
        <v>10</v>
      </c>
      <c r="BR4" s="103" t="s">
        <v>11</v>
      </c>
      <c r="BS4" s="103" t="s">
        <v>12</v>
      </c>
      <c r="BT4" s="103" t="s">
        <v>13</v>
      </c>
      <c r="BU4" s="7" t="s">
        <v>14</v>
      </c>
      <c r="BW4" s="103" t="s">
        <v>10</v>
      </c>
      <c r="BX4" s="103" t="s">
        <v>11</v>
      </c>
      <c r="BY4" s="103" t="s">
        <v>12</v>
      </c>
      <c r="BZ4" s="103" t="s">
        <v>13</v>
      </c>
      <c r="CA4" s="7" t="s">
        <v>14</v>
      </c>
      <c r="CC4" s="103" t="s">
        <v>10</v>
      </c>
      <c r="CD4" s="103" t="s">
        <v>11</v>
      </c>
      <c r="CE4" s="103" t="s">
        <v>12</v>
      </c>
      <c r="CF4" s="103" t="s">
        <v>13</v>
      </c>
      <c r="CG4" s="7" t="s">
        <v>14</v>
      </c>
      <c r="CI4" s="103" t="s">
        <v>10</v>
      </c>
      <c r="CJ4" s="103" t="s">
        <v>11</v>
      </c>
      <c r="CK4" s="103" t="s">
        <v>12</v>
      </c>
      <c r="CL4" s="103" t="s">
        <v>13</v>
      </c>
      <c r="CM4" s="7" t="s">
        <v>14</v>
      </c>
    </row>
    <row r="5" spans="1:91">
      <c r="G5" s="5"/>
      <c r="M5" s="5"/>
      <c r="S5" s="5"/>
      <c r="Y5" s="5"/>
      <c r="AE5" s="5"/>
      <c r="AK5" s="5"/>
      <c r="AQ5" s="5"/>
      <c r="AW5" s="5"/>
      <c r="BC5" s="5"/>
      <c r="BI5" s="5"/>
      <c r="BO5" s="5"/>
      <c r="BU5" s="5"/>
      <c r="CA5" s="5"/>
      <c r="CG5" s="5"/>
      <c r="CM5" s="5"/>
    </row>
    <row r="6" spans="1:91">
      <c r="G6" s="5"/>
      <c r="M6" s="5"/>
      <c r="S6" s="5"/>
      <c r="Y6" s="5"/>
      <c r="AE6" s="5"/>
      <c r="AK6" s="5"/>
      <c r="AQ6" s="5"/>
      <c r="AW6" s="5"/>
      <c r="BC6" s="5"/>
      <c r="BI6" s="5"/>
      <c r="BO6" s="5"/>
      <c r="BU6" s="5"/>
      <c r="CA6" s="5"/>
      <c r="CG6" s="5"/>
      <c r="CM6" s="5"/>
    </row>
    <row r="7" spans="1:91">
      <c r="A7" s="4" t="s">
        <v>1</v>
      </c>
      <c r="C7" s="13">
        <f>' Financial Highlights'!C7</f>
        <v>37</v>
      </c>
      <c r="D7" s="13">
        <f>' Financial Highlights'!D7</f>
        <v>169</v>
      </c>
      <c r="E7" s="13">
        <f>' Financial Highlights'!E7</f>
        <v>52</v>
      </c>
      <c r="F7" s="13">
        <f>' Financial Highlights'!F7</f>
        <v>57</v>
      </c>
      <c r="G7" s="14">
        <f>SUM(C7:F7)</f>
        <v>315</v>
      </c>
      <c r="H7" s="15"/>
      <c r="I7" s="13">
        <f>' Financial Highlights'!I7</f>
        <v>66</v>
      </c>
      <c r="J7" s="13">
        <f>' Financial Highlights'!J7</f>
        <v>86</v>
      </c>
      <c r="K7" s="13">
        <f>' Financial Highlights'!K7</f>
        <v>95</v>
      </c>
      <c r="L7" s="13">
        <f>' Financial Highlights'!L7</f>
        <v>-79</v>
      </c>
      <c r="M7" s="14">
        <f>SUM(I7:L7)</f>
        <v>168</v>
      </c>
      <c r="O7" s="13">
        <v>66</v>
      </c>
      <c r="P7" s="13">
        <v>101</v>
      </c>
      <c r="Q7" s="13">
        <v>108</v>
      </c>
      <c r="R7" s="13">
        <v>111</v>
      </c>
      <c r="S7" s="14">
        <f>SUM(O7:R7)</f>
        <v>386</v>
      </c>
      <c r="U7" s="13">
        <v>71</v>
      </c>
      <c r="V7" s="13">
        <v>149</v>
      </c>
      <c r="W7" s="13">
        <v>271</v>
      </c>
      <c r="X7" s="13">
        <v>125</v>
      </c>
      <c r="Y7" s="14">
        <f>SUM(U7:X7)</f>
        <v>616</v>
      </c>
      <c r="AA7" s="13">
        <f>' Financial Highlights'!AA7</f>
        <v>68</v>
      </c>
      <c r="AB7" s="13">
        <f>' Financial Highlights'!AB7</f>
        <v>-37</v>
      </c>
      <c r="AC7" s="13">
        <f>' Financial Highlights'!AC7</f>
        <v>263</v>
      </c>
      <c r="AD7" s="13">
        <f>' Financial Highlights'!AD7</f>
        <v>139</v>
      </c>
      <c r="AE7" s="14">
        <f>SUM(AA7:AD7)</f>
        <v>433</v>
      </c>
      <c r="AG7" s="13">
        <v>125</v>
      </c>
      <c r="AH7" s="13">
        <v>174</v>
      </c>
      <c r="AI7" s="13">
        <v>190</v>
      </c>
      <c r="AJ7" s="13">
        <v>224</v>
      </c>
      <c r="AK7" s="14">
        <f>SUM(AG7:AJ7)</f>
        <v>713</v>
      </c>
      <c r="AM7" s="13">
        <v>176</v>
      </c>
      <c r="AN7" s="13">
        <v>373</v>
      </c>
      <c r="AO7" s="13">
        <v>255</v>
      </c>
      <c r="AP7" s="13">
        <v>218</v>
      </c>
      <c r="AQ7" s="14">
        <f>SUM(AM7:AP7)</f>
        <v>1022</v>
      </c>
      <c r="AS7" s="13">
        <v>256</v>
      </c>
      <c r="AT7" s="13">
        <v>397</v>
      </c>
      <c r="AU7" s="13">
        <v>333</v>
      </c>
      <c r="AV7" s="13">
        <v>447</v>
      </c>
      <c r="AW7" s="14">
        <f>SUM(AS7:AV7)</f>
        <v>1433</v>
      </c>
      <c r="AY7" s="13">
        <v>305</v>
      </c>
      <c r="AZ7" s="13">
        <v>461</v>
      </c>
      <c r="BA7" s="13">
        <v>329</v>
      </c>
      <c r="BB7" s="57">
        <v>123</v>
      </c>
      <c r="BC7" s="14">
        <f>SUM(AY7:BB7)</f>
        <v>1218</v>
      </c>
      <c r="BE7" s="13">
        <v>127</v>
      </c>
      <c r="BF7" s="13">
        <v>237</v>
      </c>
      <c r="BG7" s="13">
        <v>225</v>
      </c>
      <c r="BH7" s="13">
        <v>194</v>
      </c>
      <c r="BI7" s="14">
        <f>SUM(BE7:BH7)</f>
        <v>783</v>
      </c>
      <c r="BK7" s="13">
        <v>213</v>
      </c>
      <c r="BL7" s="57">
        <v>258</v>
      </c>
      <c r="BM7" s="13">
        <v>250</v>
      </c>
      <c r="BN7" s="13">
        <v>178</v>
      </c>
      <c r="BO7" s="14">
        <f>SUM(BK7:BN7)</f>
        <v>899</v>
      </c>
      <c r="BQ7" s="13">
        <f>+' Financial Highlights'!BQ7</f>
        <v>216</v>
      </c>
      <c r="BR7" s="13">
        <f>+' Financial Highlights'!BR7</f>
        <v>210</v>
      </c>
      <c r="BS7" s="13">
        <f>+' Financial Highlights'!BS7</f>
        <v>312</v>
      </c>
      <c r="BT7" s="13">
        <f>+' Financial Highlights'!BT7</f>
        <v>265</v>
      </c>
      <c r="BU7" s="14">
        <f>SUM(BQ7:BT7)</f>
        <v>1003</v>
      </c>
      <c r="BW7" s="13">
        <v>228</v>
      </c>
      <c r="BX7" s="13">
        <v>229</v>
      </c>
      <c r="BY7" s="13">
        <v>239</v>
      </c>
      <c r="BZ7" s="13">
        <v>313</v>
      </c>
      <c r="CA7" s="14">
        <f>SUM(BW7:BZ7)</f>
        <v>1009</v>
      </c>
      <c r="CC7" s="13">
        <v>217</v>
      </c>
      <c r="CD7" s="13">
        <v>279</v>
      </c>
      <c r="CE7" s="13">
        <v>241</v>
      </c>
      <c r="CF7" s="13">
        <v>366</v>
      </c>
      <c r="CG7" s="14">
        <f>SUM(CC7:CF7)</f>
        <v>1103</v>
      </c>
      <c r="CI7" s="13">
        <v>296</v>
      </c>
      <c r="CJ7" s="13">
        <v>222</v>
      </c>
      <c r="CK7" s="13">
        <v>226</v>
      </c>
      <c r="CL7" s="13">
        <f>1061-744</f>
        <v>317</v>
      </c>
      <c r="CM7" s="14">
        <f>SUM(CI7:CL7)</f>
        <v>1061</v>
      </c>
    </row>
    <row r="8" spans="1:91">
      <c r="A8" s="4" t="s">
        <v>137</v>
      </c>
      <c r="C8" s="13">
        <f>' Financial Highlights'!C15</f>
        <v>51</v>
      </c>
      <c r="D8" s="13">
        <f>' Financial Highlights'!D15</f>
        <v>8</v>
      </c>
      <c r="E8" s="13">
        <f>' Financial Highlights'!E15</f>
        <v>-7</v>
      </c>
      <c r="F8" s="13">
        <f>' Financial Highlights'!F15</f>
        <v>-14</v>
      </c>
      <c r="G8" s="14">
        <f>SUM(C8:F8)</f>
        <v>38</v>
      </c>
      <c r="H8" s="15"/>
      <c r="I8" s="13">
        <f>' Financial Highlights'!I15</f>
        <v>-3</v>
      </c>
      <c r="J8" s="13">
        <f>' Financial Highlights'!J15</f>
        <v>-10</v>
      </c>
      <c r="K8" s="13">
        <f>' Financial Highlights'!K15</f>
        <v>-2</v>
      </c>
      <c r="L8" s="13">
        <f>' Financial Highlights'!L15</f>
        <v>-2</v>
      </c>
      <c r="M8" s="14">
        <f>SUM(I8:L8)</f>
        <v>-17</v>
      </c>
      <c r="O8" s="13">
        <v>-1</v>
      </c>
      <c r="P8" s="13">
        <v>-5</v>
      </c>
      <c r="Q8" s="13">
        <v>-2</v>
      </c>
      <c r="R8" s="13">
        <v>24</v>
      </c>
      <c r="S8" s="14">
        <f>SUM(O8:R8)</f>
        <v>16</v>
      </c>
      <c r="U8" s="13">
        <v>-1</v>
      </c>
      <c r="V8" s="13">
        <v>-13</v>
      </c>
      <c r="W8" s="13">
        <v>-16</v>
      </c>
      <c r="X8" s="13">
        <v>20</v>
      </c>
      <c r="Y8" s="14">
        <f>SUM(U8:X8)</f>
        <v>-10</v>
      </c>
      <c r="AA8" s="13">
        <f>' Financial Highlights'!AA15</f>
        <v>0</v>
      </c>
      <c r="AB8" s="13">
        <f>' Financial Highlights'!AB15</f>
        <v>-11</v>
      </c>
      <c r="AC8" s="13">
        <f>' Financial Highlights'!AC15</f>
        <v>-13</v>
      </c>
      <c r="AD8" s="13">
        <f>' Financial Highlights'!AD15</f>
        <v>0</v>
      </c>
      <c r="AE8" s="14">
        <f>SUM(AA8:AD8)</f>
        <v>-24</v>
      </c>
      <c r="AG8" s="13">
        <v>-15</v>
      </c>
      <c r="AH8" s="13">
        <v>1</v>
      </c>
      <c r="AI8" s="13">
        <v>-1</v>
      </c>
      <c r="AJ8" s="13">
        <v>-7</v>
      </c>
      <c r="AK8" s="14">
        <f>SUM(AG8:AJ8)</f>
        <v>-22</v>
      </c>
      <c r="AM8" s="13">
        <v>-14</v>
      </c>
      <c r="AN8" s="13">
        <v>-12</v>
      </c>
      <c r="AO8" s="13">
        <v>-9</v>
      </c>
      <c r="AP8" s="13">
        <v>-14</v>
      </c>
      <c r="AQ8" s="14">
        <f>SUM(AM8:AP8)</f>
        <v>-49</v>
      </c>
      <c r="AS8" s="13">
        <v>-31</v>
      </c>
      <c r="AT8" s="13">
        <v>-23</v>
      </c>
      <c r="AU8" s="13">
        <v>-33</v>
      </c>
      <c r="AV8" s="13">
        <v>-58</v>
      </c>
      <c r="AW8" s="14">
        <f>SUM(AS8:AV8)</f>
        <v>-145</v>
      </c>
      <c r="AY8" s="13">
        <v>-42</v>
      </c>
      <c r="AZ8" s="13">
        <v>-68</v>
      </c>
      <c r="BA8" s="13">
        <v>-54</v>
      </c>
      <c r="BB8" s="57">
        <v>-62</v>
      </c>
      <c r="BC8" s="14">
        <f>SUM(AY8:BB8)</f>
        <v>-226</v>
      </c>
      <c r="BE8" s="13">
        <v>-34.700000000000003</v>
      </c>
      <c r="BF8" s="13">
        <v>-26</v>
      </c>
      <c r="BG8" s="57">
        <v>-24</v>
      </c>
      <c r="BH8" s="57">
        <v>-40</v>
      </c>
      <c r="BI8" s="14">
        <f>SUM(BE8:BH8)</f>
        <v>-124.7</v>
      </c>
      <c r="BK8" s="13">
        <v>-27</v>
      </c>
      <c r="BL8" s="57">
        <v>-22</v>
      </c>
      <c r="BM8" s="57">
        <v>-43</v>
      </c>
      <c r="BN8" s="57">
        <v>-43</v>
      </c>
      <c r="BO8" s="14">
        <f>SUM(BK8:BN8)</f>
        <v>-135</v>
      </c>
      <c r="BQ8" s="13">
        <f>+' Financial Highlights'!BQ15</f>
        <v>-43</v>
      </c>
      <c r="BR8" s="13">
        <f>+' Financial Highlights'!BR15</f>
        <v>-61</v>
      </c>
      <c r="BS8" s="13">
        <f>+' Financial Highlights'!BS15</f>
        <v>-106</v>
      </c>
      <c r="BT8" s="13">
        <f>+' Financial Highlights'!BT15</f>
        <v>-70</v>
      </c>
      <c r="BU8" s="14">
        <f>SUM(BQ8:BT8)</f>
        <v>-280</v>
      </c>
      <c r="BW8" s="13">
        <v>-59</v>
      </c>
      <c r="BX8" s="13">
        <v>-52</v>
      </c>
      <c r="BY8" s="13">
        <v>-44</v>
      </c>
      <c r="BZ8" s="13">
        <v>-41</v>
      </c>
      <c r="CA8" s="14">
        <f>SUM(BW8:BZ8)</f>
        <v>-196</v>
      </c>
      <c r="CC8" s="13">
        <v>-48</v>
      </c>
      <c r="CD8" s="13">
        <v>-40</v>
      </c>
      <c r="CE8" s="13">
        <v>-36</v>
      </c>
      <c r="CF8" s="13">
        <v>-36</v>
      </c>
      <c r="CG8" s="14">
        <f>SUM(CC8:CF8)</f>
        <v>-160</v>
      </c>
      <c r="CI8" s="13">
        <v>-25</v>
      </c>
      <c r="CJ8" s="13">
        <v>-27</v>
      </c>
      <c r="CK8" s="13">
        <v>-21</v>
      </c>
      <c r="CL8" s="13">
        <v>-26</v>
      </c>
      <c r="CM8" s="14">
        <f>SUM(CI8:CL8)</f>
        <v>-99</v>
      </c>
    </row>
    <row r="9" spans="1:91">
      <c r="A9" s="4" t="s">
        <v>138</v>
      </c>
      <c r="C9" s="13"/>
      <c r="D9" s="13"/>
      <c r="E9" s="13"/>
      <c r="F9" s="13"/>
      <c r="G9" s="14"/>
      <c r="H9" s="15"/>
      <c r="I9" s="13"/>
      <c r="J9" s="13"/>
      <c r="K9" s="13"/>
      <c r="L9" s="13"/>
      <c r="M9" s="14"/>
      <c r="O9" s="13"/>
      <c r="P9" s="13"/>
      <c r="Q9" s="13"/>
      <c r="R9" s="13"/>
      <c r="S9" s="14"/>
      <c r="U9" s="13"/>
      <c r="V9" s="13"/>
      <c r="W9" s="13"/>
      <c r="X9" s="13"/>
      <c r="Y9" s="14"/>
      <c r="AA9" s="13">
        <v>2</v>
      </c>
      <c r="AB9" s="13">
        <v>0</v>
      </c>
      <c r="AC9" s="13">
        <v>6</v>
      </c>
      <c r="AD9" s="13">
        <v>-8</v>
      </c>
      <c r="AE9" s="14">
        <f>SUM(AA9:AD9)</f>
        <v>0</v>
      </c>
      <c r="AG9" s="13"/>
      <c r="AH9" s="13"/>
      <c r="AI9" s="13"/>
      <c r="AJ9" s="13"/>
      <c r="AK9" s="14"/>
      <c r="AM9" s="13"/>
      <c r="AN9" s="13"/>
      <c r="AO9" s="13"/>
      <c r="AP9" s="13"/>
      <c r="AQ9" s="14"/>
      <c r="AS9" s="13"/>
      <c r="AT9" s="13"/>
      <c r="AU9" s="13"/>
      <c r="AV9" s="13"/>
      <c r="AW9" s="14"/>
      <c r="AY9" s="13"/>
      <c r="AZ9" s="13"/>
      <c r="BA9" s="13"/>
      <c r="BB9" s="57"/>
      <c r="BC9" s="14"/>
      <c r="BE9" s="13"/>
      <c r="BF9" s="13"/>
      <c r="BG9" s="57"/>
      <c r="BH9" s="57"/>
      <c r="BI9" s="14"/>
      <c r="BK9" s="13"/>
      <c r="BL9" s="57"/>
      <c r="BM9" s="57"/>
      <c r="BN9" s="57"/>
      <c r="BO9" s="14"/>
      <c r="BQ9" s="13"/>
      <c r="BR9" s="57"/>
      <c r="BS9" s="57"/>
      <c r="BT9" s="57"/>
      <c r="BU9" s="14"/>
      <c r="BW9" s="13"/>
      <c r="BX9" s="57"/>
      <c r="BY9" s="57"/>
      <c r="BZ9" s="57"/>
      <c r="CA9" s="14"/>
      <c r="CC9" s="13"/>
      <c r="CD9" s="57"/>
      <c r="CE9" s="57"/>
      <c r="CF9" s="57"/>
      <c r="CG9" s="14"/>
      <c r="CI9" s="13"/>
      <c r="CJ9" s="57"/>
      <c r="CK9" s="57"/>
      <c r="CL9" s="57"/>
      <c r="CM9" s="14"/>
    </row>
    <row r="10" spans="1:91" ht="12.75" customHeight="1">
      <c r="A10" s="4" t="s">
        <v>139</v>
      </c>
      <c r="C10" s="13"/>
      <c r="D10" s="13"/>
      <c r="E10" s="13"/>
      <c r="F10" s="13"/>
      <c r="G10" s="14"/>
      <c r="H10" s="15"/>
      <c r="I10" s="13"/>
      <c r="J10" s="13"/>
      <c r="K10" s="13"/>
      <c r="L10" s="13"/>
      <c r="M10" s="14"/>
      <c r="O10" s="13"/>
      <c r="P10" s="13"/>
      <c r="Q10" s="13"/>
      <c r="R10" s="13"/>
      <c r="S10" s="14"/>
      <c r="U10" s="13"/>
      <c r="V10" s="13"/>
      <c r="W10" s="13"/>
      <c r="X10" s="13"/>
      <c r="Y10" s="14"/>
      <c r="AA10" s="13"/>
      <c r="AB10" s="13"/>
      <c r="AC10" s="13"/>
      <c r="AD10" s="13"/>
      <c r="AE10" s="14"/>
      <c r="AG10" s="13"/>
      <c r="AH10" s="13"/>
      <c r="AI10" s="13"/>
      <c r="AJ10" s="13"/>
      <c r="AK10" s="14"/>
      <c r="AM10" s="13"/>
      <c r="AN10" s="13"/>
      <c r="AO10" s="13"/>
      <c r="AP10" s="13"/>
      <c r="AQ10" s="14"/>
      <c r="AS10" s="13"/>
      <c r="AT10" s="13"/>
      <c r="AU10" s="13"/>
      <c r="AV10" s="13"/>
      <c r="AW10" s="14"/>
      <c r="AY10" s="13"/>
      <c r="AZ10" s="13"/>
      <c r="BA10" s="13"/>
      <c r="BB10" s="57"/>
      <c r="BC10" s="14"/>
      <c r="BE10" s="13"/>
      <c r="BF10" s="13"/>
      <c r="BG10" s="57"/>
      <c r="BH10" s="57"/>
      <c r="BI10" s="14"/>
      <c r="BK10" s="13"/>
      <c r="BL10" s="57"/>
      <c r="BM10" s="57"/>
      <c r="BN10" s="57"/>
      <c r="BO10" s="14"/>
      <c r="BQ10" s="13"/>
      <c r="BR10" s="57"/>
      <c r="BS10" s="57"/>
      <c r="BT10" s="57"/>
      <c r="BU10" s="14"/>
      <c r="BW10" s="13"/>
      <c r="BX10" s="57"/>
      <c r="BY10" s="57"/>
      <c r="BZ10" s="57"/>
      <c r="CA10" s="14"/>
      <c r="CC10" s="13"/>
      <c r="CD10" s="57"/>
      <c r="CE10" s="57"/>
      <c r="CF10" s="57"/>
      <c r="CG10" s="14"/>
      <c r="CI10" s="13"/>
      <c r="CJ10" s="57"/>
      <c r="CK10" s="57"/>
      <c r="CL10" s="57"/>
      <c r="CM10" s="14"/>
    </row>
    <row r="11" spans="1:91" s="11" customFormat="1" ht="12.75" customHeight="1">
      <c r="A11" s="4" t="s">
        <v>161</v>
      </c>
      <c r="B11" s="9"/>
      <c r="C11" s="19">
        <v>-113</v>
      </c>
      <c r="D11" s="19">
        <v>-70</v>
      </c>
      <c r="E11" s="19">
        <v>-30</v>
      </c>
      <c r="F11" s="19">
        <v>306</v>
      </c>
      <c r="G11" s="14">
        <f>SUM(C11:F11)</f>
        <v>93</v>
      </c>
      <c r="H11" s="15"/>
      <c r="I11" s="19">
        <v>-134</v>
      </c>
      <c r="J11" s="19">
        <v>-16</v>
      </c>
      <c r="K11" s="19">
        <v>48</v>
      </c>
      <c r="L11" s="19">
        <v>305</v>
      </c>
      <c r="M11" s="14">
        <f>SUM(I11:L11)</f>
        <v>203</v>
      </c>
      <c r="N11" s="4"/>
      <c r="O11" s="19">
        <v>-117</v>
      </c>
      <c r="P11" s="19">
        <v>-146</v>
      </c>
      <c r="Q11" s="19">
        <v>10</v>
      </c>
      <c r="R11" s="19">
        <v>86</v>
      </c>
      <c r="S11" s="14">
        <f>SUM(O11:R11)</f>
        <v>-167</v>
      </c>
      <c r="T11" s="4"/>
      <c r="U11" s="19">
        <v>-194</v>
      </c>
      <c r="V11" s="19">
        <v>-174</v>
      </c>
      <c r="W11" s="19">
        <v>-124</v>
      </c>
      <c r="X11" s="19">
        <v>156</v>
      </c>
      <c r="Y11" s="14">
        <f>SUM(U11:X11)</f>
        <v>-336</v>
      </c>
      <c r="Z11" s="4"/>
      <c r="AA11" s="19">
        <v>-189</v>
      </c>
      <c r="AB11" s="19">
        <v>28</v>
      </c>
      <c r="AC11" s="19">
        <v>-107</v>
      </c>
      <c r="AD11" s="19">
        <v>144</v>
      </c>
      <c r="AE11" s="14">
        <f>SUM(AA11:AD11)</f>
        <v>-124</v>
      </c>
      <c r="AF11" s="4"/>
      <c r="AG11" s="19">
        <v>-298</v>
      </c>
      <c r="AH11" s="19">
        <v>-155</v>
      </c>
      <c r="AI11" s="19">
        <v>-134</v>
      </c>
      <c r="AJ11" s="19">
        <v>-63</v>
      </c>
      <c r="AK11" s="14">
        <f>SUM(AG11:AJ11)</f>
        <v>-650</v>
      </c>
      <c r="AL11" s="4"/>
      <c r="AM11" s="19">
        <v>-378</v>
      </c>
      <c r="AN11" s="19">
        <v>-282</v>
      </c>
      <c r="AO11" s="19">
        <v>-60</v>
      </c>
      <c r="AP11" s="19">
        <v>12</v>
      </c>
      <c r="AQ11" s="14">
        <f>SUM(AM11:AP11)</f>
        <v>-708</v>
      </c>
      <c r="AR11" s="4"/>
      <c r="AS11" s="19">
        <v>-175</v>
      </c>
      <c r="AT11" s="19">
        <v>-234</v>
      </c>
      <c r="AU11" s="19">
        <v>125</v>
      </c>
      <c r="AV11" s="19">
        <v>158</v>
      </c>
      <c r="AW11" s="14">
        <f>SUM(AS11:AV11)</f>
        <v>-126</v>
      </c>
      <c r="AX11" s="4"/>
      <c r="AY11" s="19">
        <v>-513</v>
      </c>
      <c r="AZ11" s="19">
        <v>-416</v>
      </c>
      <c r="BA11" s="19">
        <v>-96</v>
      </c>
      <c r="BB11" s="72">
        <v>796</v>
      </c>
      <c r="BC11" s="14">
        <f>SUM(AY11:BB11)</f>
        <v>-229</v>
      </c>
      <c r="BD11" s="4"/>
      <c r="BE11" s="72">
        <v>75</v>
      </c>
      <c r="BF11" s="72">
        <v>-190</v>
      </c>
      <c r="BG11" s="72">
        <v>2</v>
      </c>
      <c r="BH11" s="72">
        <v>37</v>
      </c>
      <c r="BI11" s="14">
        <f>SUM(BE11:BH11)</f>
        <v>-76</v>
      </c>
      <c r="BK11" s="72">
        <v>-407</v>
      </c>
      <c r="BL11" s="72">
        <v>-499</v>
      </c>
      <c r="BM11" s="72">
        <f>-18-3-336</f>
        <v>-357</v>
      </c>
      <c r="BN11" s="72">
        <v>125</v>
      </c>
      <c r="BO11" s="14">
        <f>SUM(BK11:BN11)</f>
        <v>-1138</v>
      </c>
      <c r="BQ11" s="72">
        <v>-626</v>
      </c>
      <c r="BR11" s="72">
        <v>-77</v>
      </c>
      <c r="BS11" s="72">
        <v>193</v>
      </c>
      <c r="BT11" s="72">
        <v>345</v>
      </c>
      <c r="BU11" s="14">
        <f>SUM(BQ11:BT11)</f>
        <v>-165</v>
      </c>
      <c r="BW11" s="72">
        <v>-142</v>
      </c>
      <c r="BX11" s="72">
        <v>-111</v>
      </c>
      <c r="BY11" s="72">
        <v>-165</v>
      </c>
      <c r="BZ11" s="72">
        <v>727</v>
      </c>
      <c r="CA11" s="14">
        <f>SUM(BW11:BZ11)</f>
        <v>309</v>
      </c>
      <c r="CC11" s="72">
        <v>-690</v>
      </c>
      <c r="CD11" s="72">
        <v>-249</v>
      </c>
      <c r="CE11" s="72">
        <v>151</v>
      </c>
      <c r="CF11" s="72">
        <v>390</v>
      </c>
      <c r="CG11" s="14">
        <f>SUM(CC11:CF11)</f>
        <v>-398</v>
      </c>
      <c r="CI11" s="72">
        <v>-72</v>
      </c>
      <c r="CJ11" s="72">
        <v>-86</v>
      </c>
      <c r="CK11" s="72">
        <v>-76</v>
      </c>
      <c r="CL11" s="72">
        <v>855</v>
      </c>
      <c r="CM11" s="14">
        <f>SUM(CI11:CL11)</f>
        <v>621</v>
      </c>
    </row>
    <row r="12" spans="1:91" ht="15.75" customHeight="1">
      <c r="A12" s="11" t="s">
        <v>140</v>
      </c>
      <c r="B12" s="6"/>
      <c r="C12" s="16">
        <f>SUM(C7:C11)</f>
        <v>-25</v>
      </c>
      <c r="D12" s="16">
        <f>SUM(D7:D11)</f>
        <v>107</v>
      </c>
      <c r="E12" s="16">
        <f>SUM(E7:E11)</f>
        <v>15</v>
      </c>
      <c r="F12" s="16">
        <f>SUM(F7:F11)</f>
        <v>349</v>
      </c>
      <c r="G12" s="17">
        <f>SUM(G7:G11)</f>
        <v>446</v>
      </c>
      <c r="H12" s="15"/>
      <c r="I12" s="16">
        <f>SUM(I7:I11)</f>
        <v>-71</v>
      </c>
      <c r="J12" s="16">
        <f>SUM(J7:J11)</f>
        <v>60</v>
      </c>
      <c r="K12" s="16">
        <f>SUM(K7:K11)</f>
        <v>141</v>
      </c>
      <c r="L12" s="16">
        <f>SUM(L7:L11)</f>
        <v>224</v>
      </c>
      <c r="M12" s="17">
        <f>SUM(M7:M11)</f>
        <v>354</v>
      </c>
      <c r="N12" s="11"/>
      <c r="O12" s="16">
        <f>SUM(O7:O11)</f>
        <v>-52</v>
      </c>
      <c r="P12" s="16">
        <f>SUM(P7:P11)</f>
        <v>-50</v>
      </c>
      <c r="Q12" s="16">
        <f>SUM(Q7:Q11)</f>
        <v>116</v>
      </c>
      <c r="R12" s="16">
        <f>SUM(R7:R11)</f>
        <v>221</v>
      </c>
      <c r="S12" s="17">
        <f>SUM(S7:S11)</f>
        <v>235</v>
      </c>
      <c r="T12" s="11"/>
      <c r="U12" s="16">
        <f>SUM(U7:U11)</f>
        <v>-124</v>
      </c>
      <c r="V12" s="16">
        <f>SUM(V7:V11)</f>
        <v>-38</v>
      </c>
      <c r="W12" s="16">
        <f>SUM(W7:W11)</f>
        <v>131</v>
      </c>
      <c r="X12" s="16">
        <f>SUM(X7:X11)</f>
        <v>301</v>
      </c>
      <c r="Y12" s="17">
        <f>SUM(Y7:Y11)</f>
        <v>270</v>
      </c>
      <c r="Z12" s="11"/>
      <c r="AA12" s="16">
        <f>SUM(AA7:AA11)</f>
        <v>-119</v>
      </c>
      <c r="AB12" s="16">
        <f>SUM(AB7:AB11)</f>
        <v>-20</v>
      </c>
      <c r="AC12" s="16">
        <f>SUM(AC7:AC11)</f>
        <v>149</v>
      </c>
      <c r="AD12" s="16">
        <f>SUM(AD7:AD11)</f>
        <v>275</v>
      </c>
      <c r="AE12" s="17">
        <f>SUM(AE7:AE11)</f>
        <v>285</v>
      </c>
      <c r="AF12" s="11"/>
      <c r="AG12" s="16">
        <f>SUM(AG7:AG11)</f>
        <v>-188</v>
      </c>
      <c r="AH12" s="16">
        <f>SUM(AH7:AH11)</f>
        <v>20</v>
      </c>
      <c r="AI12" s="16">
        <f>SUM(AI7:AI11)</f>
        <v>55</v>
      </c>
      <c r="AJ12" s="16">
        <f>SUM(AJ7:AJ11)</f>
        <v>154</v>
      </c>
      <c r="AK12" s="17">
        <f>SUM(AK7:AK11)</f>
        <v>41</v>
      </c>
      <c r="AL12" s="11"/>
      <c r="AM12" s="16">
        <f>SUM(AM7:AM11)</f>
        <v>-216</v>
      </c>
      <c r="AN12" s="16">
        <f>SUM(AN7:AN11)</f>
        <v>79</v>
      </c>
      <c r="AO12" s="16">
        <f>SUM(AO7:AO11)</f>
        <v>186</v>
      </c>
      <c r="AP12" s="16">
        <f>SUM(AP7:AP11)</f>
        <v>216</v>
      </c>
      <c r="AQ12" s="17">
        <f>SUM(AQ7:AQ11)</f>
        <v>265</v>
      </c>
      <c r="AR12" s="11"/>
      <c r="AS12" s="16">
        <f>SUM(AS7:AS11)</f>
        <v>50</v>
      </c>
      <c r="AT12" s="16">
        <f>SUM(AT7:AT11)</f>
        <v>140</v>
      </c>
      <c r="AU12" s="16">
        <f>SUM(AU7:AU11)</f>
        <v>425</v>
      </c>
      <c r="AV12" s="16">
        <f>SUM(AV7:AV11)</f>
        <v>547</v>
      </c>
      <c r="AW12" s="17">
        <f>SUM(AW7:AW11)</f>
        <v>1162</v>
      </c>
      <c r="AX12" s="11"/>
      <c r="AY12" s="16">
        <f>SUM(AY7:AY11)</f>
        <v>-250</v>
      </c>
      <c r="AZ12" s="16">
        <f>SUM(AZ7:AZ11)</f>
        <v>-23</v>
      </c>
      <c r="BA12" s="16">
        <f>SUM(BA7:BA11)</f>
        <v>179</v>
      </c>
      <c r="BB12" s="60">
        <f>SUM(BB7:BB11)</f>
        <v>857</v>
      </c>
      <c r="BC12" s="17">
        <f>SUM(BC7:BC11)</f>
        <v>763</v>
      </c>
      <c r="BD12" s="11"/>
      <c r="BE12" s="16">
        <f>SUM(BE7:BE11)</f>
        <v>167.3</v>
      </c>
      <c r="BF12" s="16">
        <f>SUM(BF7:BF11)</f>
        <v>21</v>
      </c>
      <c r="BG12" s="60">
        <f>SUM(BG7:BG11)</f>
        <v>203</v>
      </c>
      <c r="BH12" s="60">
        <f>SUM(BH7:BH11)</f>
        <v>191</v>
      </c>
      <c r="BI12" s="17">
        <f>SUM(BI7:BI11)</f>
        <v>582.29999999999995</v>
      </c>
      <c r="BK12" s="16">
        <f>SUM(BK7:BK11)</f>
        <v>-221</v>
      </c>
      <c r="BL12" s="60">
        <f>SUM(BL7:BL11)</f>
        <v>-263</v>
      </c>
      <c r="BM12" s="60">
        <f>SUM(BM7:BM11)</f>
        <v>-150</v>
      </c>
      <c r="BN12" s="60">
        <f>SUM(BN7:BN11)</f>
        <v>260</v>
      </c>
      <c r="BO12" s="17">
        <f>SUM(BO7:BO11)</f>
        <v>-374</v>
      </c>
      <c r="BQ12" s="16">
        <f>SUM(BQ7:BQ11)</f>
        <v>-453</v>
      </c>
      <c r="BR12" s="60">
        <f>SUM(BR7:BR11)</f>
        <v>72</v>
      </c>
      <c r="BS12" s="60">
        <f>SUM(BS7:BS11)</f>
        <v>399</v>
      </c>
      <c r="BT12" s="60">
        <f>SUM(BT7:BT11)</f>
        <v>540</v>
      </c>
      <c r="BU12" s="17">
        <f>SUM(BU7:BU11)</f>
        <v>558</v>
      </c>
      <c r="BW12" s="16">
        <f>SUM(BW7:BW11)</f>
        <v>27</v>
      </c>
      <c r="BX12" s="60">
        <f>SUM(BX7:BX11)</f>
        <v>66</v>
      </c>
      <c r="BY12" s="60">
        <f>SUM(BY7:BY11)</f>
        <v>30</v>
      </c>
      <c r="BZ12" s="60">
        <f>SUM(BZ7:BZ11)</f>
        <v>999</v>
      </c>
      <c r="CA12" s="17">
        <f>SUM(CA7:CA11)</f>
        <v>1122</v>
      </c>
      <c r="CC12" s="16">
        <f>SUM(CC7:CC11)</f>
        <v>-521</v>
      </c>
      <c r="CD12" s="16">
        <f>SUM(CD7:CD11)</f>
        <v>-10</v>
      </c>
      <c r="CE12" s="16">
        <f>SUM(CE7:CE11)</f>
        <v>356</v>
      </c>
      <c r="CF12" s="16">
        <f>SUM(CF7:CF11)</f>
        <v>720</v>
      </c>
      <c r="CG12" s="17">
        <f>SUM(CG7:CG11)</f>
        <v>545</v>
      </c>
      <c r="CI12" s="16">
        <f>SUM(CI7:CI11)</f>
        <v>199</v>
      </c>
      <c r="CJ12" s="16">
        <f>SUM(CJ7:CJ11)</f>
        <v>109</v>
      </c>
      <c r="CK12" s="16">
        <f>SUM(CK7:CK11)</f>
        <v>129</v>
      </c>
      <c r="CL12" s="16">
        <f>SUM(CL7:CL11)</f>
        <v>1146</v>
      </c>
      <c r="CM12" s="17">
        <f>SUM(CM7:CM11)</f>
        <v>1583</v>
      </c>
    </row>
    <row r="13" spans="1:91">
      <c r="C13" s="13"/>
      <c r="D13" s="13"/>
      <c r="E13" s="13"/>
      <c r="F13" s="13"/>
      <c r="G13" s="14"/>
      <c r="H13" s="15"/>
      <c r="I13" s="13"/>
      <c r="J13" s="13"/>
      <c r="K13" s="13"/>
      <c r="L13" s="13"/>
      <c r="M13" s="14"/>
      <c r="O13" s="13"/>
      <c r="P13" s="13"/>
      <c r="Q13" s="13"/>
      <c r="R13" s="13"/>
      <c r="S13" s="14"/>
      <c r="U13" s="13"/>
      <c r="V13" s="13"/>
      <c r="W13" s="13"/>
      <c r="X13" s="13"/>
      <c r="Y13" s="14"/>
      <c r="AA13" s="13"/>
      <c r="AB13" s="13"/>
      <c r="AC13" s="13"/>
      <c r="AD13" s="13"/>
      <c r="AE13" s="14"/>
      <c r="AG13" s="13"/>
      <c r="AH13" s="13"/>
      <c r="AI13" s="13"/>
      <c r="AJ13" s="13"/>
      <c r="AK13" s="14"/>
      <c r="AM13" s="13"/>
      <c r="AN13" s="13"/>
      <c r="AO13" s="13"/>
      <c r="AP13" s="13"/>
      <c r="AQ13" s="14"/>
      <c r="AS13" s="13"/>
      <c r="AT13" s="13"/>
      <c r="AU13" s="13"/>
      <c r="AV13" s="13"/>
      <c r="AW13" s="14"/>
      <c r="AY13" s="13"/>
      <c r="AZ13" s="13"/>
      <c r="BA13" s="13"/>
      <c r="BB13" s="57"/>
      <c r="BC13" s="14"/>
      <c r="BE13" s="13"/>
      <c r="BF13" s="13"/>
      <c r="BG13" s="57"/>
      <c r="BH13" s="57"/>
      <c r="BI13" s="14"/>
      <c r="BK13" s="13"/>
      <c r="BL13" s="57"/>
      <c r="BM13" s="57"/>
      <c r="BN13" s="57"/>
      <c r="BO13" s="14"/>
      <c r="BQ13" s="13"/>
      <c r="BR13" s="57"/>
      <c r="BS13" s="57"/>
      <c r="BT13" s="57"/>
      <c r="BU13" s="14"/>
      <c r="BW13" s="13"/>
      <c r="BX13" s="57"/>
      <c r="BY13" s="57"/>
      <c r="BZ13" s="57"/>
      <c r="CA13" s="14"/>
      <c r="CC13" s="13"/>
      <c r="CD13" s="57"/>
      <c r="CE13" s="57"/>
      <c r="CF13" s="57"/>
      <c r="CG13" s="14"/>
      <c r="CI13" s="13"/>
      <c r="CJ13" s="57"/>
      <c r="CK13" s="57"/>
      <c r="CL13" s="57"/>
      <c r="CM13" s="14"/>
    </row>
    <row r="14" spans="1:91">
      <c r="A14" s="4" t="s">
        <v>65</v>
      </c>
      <c r="C14" s="13"/>
      <c r="D14" s="13"/>
      <c r="E14" s="13"/>
      <c r="F14" s="13"/>
      <c r="G14" s="14"/>
      <c r="H14" s="15"/>
      <c r="I14" s="13"/>
      <c r="J14" s="13"/>
      <c r="K14" s="13"/>
      <c r="L14" s="13"/>
      <c r="M14" s="14"/>
      <c r="O14" s="13"/>
      <c r="P14" s="13"/>
      <c r="Q14" s="13"/>
      <c r="R14" s="13"/>
      <c r="S14" s="14"/>
      <c r="U14" s="13">
        <v>-41</v>
      </c>
      <c r="V14" s="13">
        <v>-875</v>
      </c>
      <c r="W14" s="13">
        <v>0</v>
      </c>
      <c r="X14" s="13">
        <v>-56</v>
      </c>
      <c r="Y14" s="14">
        <f>SUM(U14:X14)</f>
        <v>-972</v>
      </c>
      <c r="AA14" s="13">
        <v>-41</v>
      </c>
      <c r="AB14" s="13">
        <v>-869</v>
      </c>
      <c r="AC14" s="13">
        <v>0</v>
      </c>
      <c r="AD14" s="13">
        <v>-17</v>
      </c>
      <c r="AE14" s="14">
        <f>SUM(AA14:AD14)</f>
        <v>-927</v>
      </c>
      <c r="AG14" s="13">
        <f>97-13</f>
        <v>84</v>
      </c>
      <c r="AH14" s="13">
        <v>0</v>
      </c>
      <c r="AI14" s="13">
        <v>0</v>
      </c>
      <c r="AJ14" s="13">
        <v>-7</v>
      </c>
      <c r="AK14" s="14">
        <f>SUM(AG14:AJ14)</f>
        <v>77</v>
      </c>
      <c r="AM14" s="13">
        <v>-10</v>
      </c>
      <c r="AN14" s="13">
        <v>0</v>
      </c>
      <c r="AO14" s="13">
        <v>0</v>
      </c>
      <c r="AP14" s="13">
        <v>-4</v>
      </c>
      <c r="AQ14" s="14">
        <f>SUM(AM14:AP14)</f>
        <v>-14</v>
      </c>
      <c r="AS14" s="13">
        <v>-953</v>
      </c>
      <c r="AT14" s="13">
        <v>-103</v>
      </c>
      <c r="AU14" s="13">
        <v>-297</v>
      </c>
      <c r="AV14" s="13">
        <v>-42</v>
      </c>
      <c r="AW14" s="14">
        <f>SUM(AS14:AV14)</f>
        <v>-1395</v>
      </c>
      <c r="AY14" s="13">
        <v>-97</v>
      </c>
      <c r="AZ14" s="13">
        <v>-94</v>
      </c>
      <c r="BA14" s="13">
        <v>-24</v>
      </c>
      <c r="BB14" s="57">
        <v>0</v>
      </c>
      <c r="BC14" s="14">
        <f>SUM(AY14:BB14)</f>
        <v>-215</v>
      </c>
      <c r="BE14" s="13">
        <v>0</v>
      </c>
      <c r="BF14" s="13">
        <v>0</v>
      </c>
      <c r="BG14" s="57">
        <v>0</v>
      </c>
      <c r="BH14" s="57">
        <v>-11</v>
      </c>
      <c r="BI14" s="14">
        <f>SUM(BE14:BH14)</f>
        <v>-11</v>
      </c>
      <c r="BK14" s="13">
        <v>0</v>
      </c>
      <c r="BL14" s="57">
        <v>-22</v>
      </c>
      <c r="BM14" s="57">
        <v>-6</v>
      </c>
      <c r="BN14" s="57">
        <v>-21</v>
      </c>
      <c r="BO14" s="14">
        <f>SUM(BK14:BN14)</f>
        <v>-49</v>
      </c>
      <c r="BQ14" s="13">
        <v>-110</v>
      </c>
      <c r="BR14" s="57">
        <v>-41</v>
      </c>
      <c r="BS14" s="57">
        <v>-58</v>
      </c>
      <c r="BT14" s="57">
        <v>-15</v>
      </c>
      <c r="BU14" s="14">
        <f>SUM(BQ14:BT14)</f>
        <v>-224</v>
      </c>
      <c r="BW14" s="13">
        <v>-7</v>
      </c>
      <c r="BX14" s="57">
        <v>0</v>
      </c>
      <c r="BY14" s="57">
        <v>-3</v>
      </c>
      <c r="BZ14" s="57">
        <v>2</v>
      </c>
      <c r="CA14" s="14">
        <f>SUM(BW14:BZ14)</f>
        <v>-8</v>
      </c>
      <c r="CC14" s="13">
        <v>-1</v>
      </c>
      <c r="CD14" s="57">
        <v>-4</v>
      </c>
      <c r="CE14" s="57">
        <v>-230</v>
      </c>
      <c r="CF14" s="57">
        <v>9</v>
      </c>
      <c r="CG14" s="14">
        <f>SUM(CC14:CF14)</f>
        <v>-226</v>
      </c>
      <c r="CI14" s="13">
        <v>82</v>
      </c>
      <c r="CJ14" s="57">
        <v>0</v>
      </c>
      <c r="CK14" s="57">
        <v>0</v>
      </c>
      <c r="CL14" s="57">
        <v>-6</v>
      </c>
      <c r="CM14" s="14">
        <f>SUM(CI14:CL14)</f>
        <v>76</v>
      </c>
    </row>
    <row r="15" spans="1:91">
      <c r="A15" s="4" t="s">
        <v>141</v>
      </c>
      <c r="C15" s="13">
        <v>-57</v>
      </c>
      <c r="D15" s="13">
        <v>17</v>
      </c>
      <c r="E15" s="13">
        <v>-22</v>
      </c>
      <c r="F15" s="13">
        <v>-61</v>
      </c>
      <c r="G15" s="14">
        <f>SUM(C15:F15)</f>
        <v>-123</v>
      </c>
      <c r="H15" s="15"/>
      <c r="I15" s="13">
        <v>80</v>
      </c>
      <c r="J15" s="13">
        <v>-48</v>
      </c>
      <c r="K15" s="13">
        <v>32</v>
      </c>
      <c r="L15" s="13">
        <v>-7</v>
      </c>
      <c r="M15" s="14">
        <f>SUM(I15:L15)</f>
        <v>57</v>
      </c>
      <c r="O15" s="13">
        <v>-20</v>
      </c>
      <c r="P15" s="13">
        <v>-23</v>
      </c>
      <c r="Q15" s="13">
        <v>-29</v>
      </c>
      <c r="R15" s="13">
        <v>-44</v>
      </c>
      <c r="S15" s="14">
        <f>SUM(O15:R15)</f>
        <v>-116</v>
      </c>
      <c r="U15" s="13">
        <v>-41</v>
      </c>
      <c r="V15" s="13">
        <v>-52</v>
      </c>
      <c r="W15" s="13">
        <v>199</v>
      </c>
      <c r="X15" s="13">
        <v>29</v>
      </c>
      <c r="Y15" s="14">
        <f>SUM(U15:X15)</f>
        <v>135</v>
      </c>
      <c r="AA15" s="13">
        <v>-39</v>
      </c>
      <c r="AB15" s="13">
        <v>-51</v>
      </c>
      <c r="AC15" s="13">
        <v>199</v>
      </c>
      <c r="AD15" s="13">
        <v>31</v>
      </c>
      <c r="AE15" s="14">
        <f>SUM(AA15:AD15)</f>
        <v>140</v>
      </c>
      <c r="AG15" s="13">
        <v>-28</v>
      </c>
      <c r="AH15" s="13">
        <v>-15</v>
      </c>
      <c r="AI15" s="13">
        <v>-56</v>
      </c>
      <c r="AJ15" s="13">
        <v>-6</v>
      </c>
      <c r="AK15" s="14">
        <f>SUM(AG15:AJ15)</f>
        <v>-105</v>
      </c>
      <c r="AM15" s="13">
        <v>-67</v>
      </c>
      <c r="AN15" s="13">
        <v>176</v>
      </c>
      <c r="AO15" s="13">
        <v>-46</v>
      </c>
      <c r="AP15" s="13">
        <v>-92</v>
      </c>
      <c r="AQ15" s="14">
        <f>SUM(AM15:AP15)</f>
        <v>-29</v>
      </c>
      <c r="AR15" s="4" t="s">
        <v>78</v>
      </c>
      <c r="AS15" s="13">
        <v>-89</v>
      </c>
      <c r="AT15" s="13">
        <v>-85</v>
      </c>
      <c r="AU15" s="13">
        <v>-84</v>
      </c>
      <c r="AV15" s="13">
        <v>-131</v>
      </c>
      <c r="AW15" s="14">
        <f>SUM(AS15:AV15)</f>
        <v>-389</v>
      </c>
      <c r="AX15" s="4" t="s">
        <v>78</v>
      </c>
      <c r="AY15" s="13">
        <v>187</v>
      </c>
      <c r="AZ15" s="13">
        <v>-154</v>
      </c>
      <c r="BA15" s="13">
        <f>-408-33+272</f>
        <v>-169</v>
      </c>
      <c r="BB15" s="57">
        <v>-304</v>
      </c>
      <c r="BC15" s="14">
        <f>SUM(AY15:BB15)</f>
        <v>-440</v>
      </c>
      <c r="BD15" s="4" t="s">
        <v>78</v>
      </c>
      <c r="BE15" s="13">
        <v>-166</v>
      </c>
      <c r="BF15" s="82">
        <v>-255</v>
      </c>
      <c r="BG15" s="57">
        <v>-247</v>
      </c>
      <c r="BH15" s="57">
        <v>-200</v>
      </c>
      <c r="BI15" s="14">
        <f>SUM(BE15:BH15)</f>
        <v>-868</v>
      </c>
      <c r="BK15" s="13">
        <v>-295</v>
      </c>
      <c r="BL15" s="57">
        <v>-153</v>
      </c>
      <c r="BM15" s="57">
        <v>-131</v>
      </c>
      <c r="BN15" s="57">
        <v>-144</v>
      </c>
      <c r="BO15" s="14">
        <f>SUM(BK15:BN15)</f>
        <v>-723</v>
      </c>
      <c r="BQ15" s="13">
        <v>-93</v>
      </c>
      <c r="BR15" s="57">
        <v>-109</v>
      </c>
      <c r="BS15" s="57">
        <v>-100</v>
      </c>
      <c r="BT15" s="57">
        <v>-125</v>
      </c>
      <c r="BU15" s="14">
        <f>SUM(BQ15:BT15)</f>
        <v>-427</v>
      </c>
      <c r="BW15" s="13">
        <v>-88</v>
      </c>
      <c r="BX15" s="57">
        <v>-67</v>
      </c>
      <c r="BY15" s="57">
        <v>-53</v>
      </c>
      <c r="BZ15" s="57">
        <v>-109</v>
      </c>
      <c r="CA15" s="14">
        <f>SUM(BW15:BZ15)</f>
        <v>-317</v>
      </c>
      <c r="CC15" s="13">
        <v>-60</v>
      </c>
      <c r="CD15" s="57">
        <v>-53</v>
      </c>
      <c r="CE15" s="57">
        <v>-52</v>
      </c>
      <c r="CF15" s="57">
        <v>-79</v>
      </c>
      <c r="CG15" s="14">
        <f>SUM(CC15:CF15)</f>
        <v>-244</v>
      </c>
      <c r="CI15" s="13">
        <v>-50</v>
      </c>
      <c r="CJ15" s="57">
        <v>-49</v>
      </c>
      <c r="CK15" s="57">
        <v>-70</v>
      </c>
      <c r="CL15" s="57">
        <v>-62</v>
      </c>
      <c r="CM15" s="14">
        <f>SUM(CI15:CL15)</f>
        <v>-231</v>
      </c>
    </row>
    <row r="16" spans="1:91" ht="15" customHeight="1">
      <c r="A16" s="4" t="s">
        <v>45</v>
      </c>
      <c r="C16" s="13">
        <v>0</v>
      </c>
      <c r="D16" s="13">
        <v>0</v>
      </c>
      <c r="E16" s="13">
        <v>0</v>
      </c>
      <c r="F16" s="13">
        <v>0</v>
      </c>
      <c r="G16" s="14">
        <f>SUM(C16:F16)</f>
        <v>0</v>
      </c>
      <c r="H16" s="15"/>
      <c r="I16" s="13">
        <v>-16</v>
      </c>
      <c r="J16" s="13">
        <v>0</v>
      </c>
      <c r="K16" s="13">
        <v>0</v>
      </c>
      <c r="L16" s="13">
        <v>90</v>
      </c>
      <c r="M16" s="14">
        <f>SUM(I16:L16)</f>
        <v>74</v>
      </c>
      <c r="O16" s="13">
        <v>0</v>
      </c>
      <c r="P16" s="13">
        <v>0</v>
      </c>
      <c r="Q16" s="13">
        <v>0</v>
      </c>
      <c r="R16" s="13">
        <v>0</v>
      </c>
      <c r="S16" s="14">
        <f>SUM(O16:R16)</f>
        <v>0</v>
      </c>
      <c r="U16" s="13">
        <v>29</v>
      </c>
      <c r="V16" s="13">
        <v>0</v>
      </c>
      <c r="W16" s="13">
        <v>0</v>
      </c>
      <c r="X16" s="13"/>
      <c r="Y16" s="14">
        <f>SUM(U16:X16)</f>
        <v>29</v>
      </c>
      <c r="AA16" s="13"/>
      <c r="AB16" s="13"/>
      <c r="AC16" s="13"/>
      <c r="AD16" s="13"/>
      <c r="AE16" s="14">
        <f>SUM(AA16:AD16)</f>
        <v>0</v>
      </c>
      <c r="AG16" s="13">
        <v>-20</v>
      </c>
      <c r="AH16" s="13">
        <v>0</v>
      </c>
      <c r="AI16" s="13">
        <v>0</v>
      </c>
      <c r="AJ16" s="13">
        <v>0</v>
      </c>
      <c r="AK16" s="14">
        <f>SUM(AG16:AJ16)</f>
        <v>-20</v>
      </c>
      <c r="AM16" s="13">
        <v>0</v>
      </c>
      <c r="AN16" s="13">
        <v>0</v>
      </c>
      <c r="AO16" s="13">
        <v>-58</v>
      </c>
      <c r="AP16" s="13">
        <v>0</v>
      </c>
      <c r="AQ16" s="14">
        <f>SUM(AM16:AP16)</f>
        <v>-58</v>
      </c>
      <c r="AS16" s="13">
        <v>0</v>
      </c>
      <c r="AT16" s="13">
        <v>0</v>
      </c>
      <c r="AU16" s="13">
        <v>0</v>
      </c>
      <c r="AV16" s="13">
        <v>0</v>
      </c>
      <c r="AW16" s="14">
        <f>SUM(AS16:AV16)</f>
        <v>0</v>
      </c>
      <c r="AY16" s="13">
        <v>0</v>
      </c>
      <c r="AZ16" s="13">
        <v>0</v>
      </c>
      <c r="BA16" s="13">
        <v>0</v>
      </c>
      <c r="BB16" s="57">
        <v>0</v>
      </c>
      <c r="BC16" s="14">
        <f>SUM(AY16:BB16)</f>
        <v>0</v>
      </c>
      <c r="BE16" s="13">
        <v>0</v>
      </c>
      <c r="BF16" s="82">
        <v>0</v>
      </c>
      <c r="BG16" s="57">
        <v>0</v>
      </c>
      <c r="BH16" s="57">
        <v>-23</v>
      </c>
      <c r="BI16" s="14">
        <f>SUM(BE16:BH16)</f>
        <v>-23</v>
      </c>
      <c r="BK16" s="13">
        <v>0</v>
      </c>
      <c r="BL16" s="57">
        <v>0</v>
      </c>
      <c r="BM16" s="57">
        <v>0</v>
      </c>
      <c r="BN16" s="57">
        <v>0</v>
      </c>
      <c r="BO16" s="14">
        <f>SUM(BK16:BN16)</f>
        <v>0</v>
      </c>
      <c r="BQ16" s="13">
        <v>0</v>
      </c>
      <c r="BR16" s="57">
        <v>0</v>
      </c>
      <c r="BS16" s="57">
        <v>0</v>
      </c>
      <c r="BT16" s="57">
        <v>0</v>
      </c>
      <c r="BU16" s="14">
        <f>SUM(BQ16:BT16)</f>
        <v>0</v>
      </c>
      <c r="BW16" s="13">
        <v>0</v>
      </c>
      <c r="BX16" s="57">
        <v>0</v>
      </c>
      <c r="BY16" s="57">
        <v>0</v>
      </c>
      <c r="BZ16" s="57">
        <v>0</v>
      </c>
      <c r="CA16" s="14">
        <f>SUM(BW16:BZ16)</f>
        <v>0</v>
      </c>
      <c r="CC16" s="13"/>
      <c r="CD16" s="57"/>
      <c r="CE16" s="57"/>
      <c r="CF16" s="57"/>
      <c r="CG16" s="14">
        <f>SUM(CC16:CF16)</f>
        <v>0</v>
      </c>
      <c r="CI16" s="13"/>
      <c r="CJ16" s="57"/>
      <c r="CK16" s="57"/>
      <c r="CL16" s="57"/>
      <c r="CM16" s="14">
        <f>SUM(CI16:CL16)</f>
        <v>0</v>
      </c>
    </row>
    <row r="17" spans="1:91">
      <c r="A17" s="4" t="s">
        <v>104</v>
      </c>
      <c r="C17" s="13"/>
      <c r="D17" s="13"/>
      <c r="E17" s="13"/>
      <c r="F17" s="13"/>
      <c r="G17" s="14"/>
      <c r="H17" s="15"/>
      <c r="I17" s="13"/>
      <c r="J17" s="13"/>
      <c r="K17" s="13"/>
      <c r="L17" s="13"/>
      <c r="M17" s="14"/>
      <c r="O17" s="13"/>
      <c r="P17" s="13"/>
      <c r="Q17" s="13"/>
      <c r="R17" s="13"/>
      <c r="S17" s="14"/>
      <c r="U17" s="13"/>
      <c r="V17" s="13"/>
      <c r="W17" s="13"/>
      <c r="X17" s="13"/>
      <c r="Y17" s="14"/>
      <c r="AA17" s="13"/>
      <c r="AB17" s="13"/>
      <c r="AC17" s="13"/>
      <c r="AD17" s="13"/>
      <c r="AE17" s="14"/>
      <c r="AG17" s="13"/>
      <c r="AH17" s="13"/>
      <c r="AI17" s="13"/>
      <c r="AJ17" s="13"/>
      <c r="AK17" s="14"/>
      <c r="AM17" s="13"/>
      <c r="AN17" s="13"/>
      <c r="AO17" s="13"/>
      <c r="AP17" s="13"/>
      <c r="AQ17" s="14"/>
      <c r="AS17" s="13">
        <v>36</v>
      </c>
      <c r="AT17" s="13">
        <v>0</v>
      </c>
      <c r="AU17" s="13">
        <v>0</v>
      </c>
      <c r="AV17" s="13">
        <v>0</v>
      </c>
      <c r="AW17" s="14">
        <f>SUM(AS17:AV17)</f>
        <v>36</v>
      </c>
      <c r="AY17" s="13">
        <v>26</v>
      </c>
      <c r="AZ17" s="13">
        <v>0</v>
      </c>
      <c r="BA17" s="13">
        <v>0</v>
      </c>
      <c r="BB17" s="57">
        <v>0</v>
      </c>
      <c r="BC17" s="14">
        <f>SUM(AY17:BB17)</f>
        <v>26</v>
      </c>
      <c r="BE17" s="13">
        <v>0</v>
      </c>
      <c r="BF17" s="82">
        <v>0</v>
      </c>
      <c r="BG17" s="57">
        <v>0</v>
      </c>
      <c r="BH17" s="57">
        <v>0</v>
      </c>
      <c r="BI17" s="14">
        <f>SUM(BE17:BH17)</f>
        <v>0</v>
      </c>
      <c r="BK17" s="13">
        <v>0</v>
      </c>
      <c r="BL17" s="57">
        <v>77</v>
      </c>
      <c r="BM17" s="57">
        <v>0</v>
      </c>
      <c r="BN17" s="57">
        <v>0</v>
      </c>
      <c r="BO17" s="14">
        <f>SUM(BK17:BN17)</f>
        <v>77</v>
      </c>
      <c r="BQ17" s="13">
        <v>0</v>
      </c>
      <c r="BR17" s="57">
        <v>0</v>
      </c>
      <c r="BS17" s="57">
        <v>0</v>
      </c>
      <c r="BT17" s="57">
        <v>0</v>
      </c>
      <c r="BU17" s="14">
        <f>SUM(BQ17:BT17)</f>
        <v>0</v>
      </c>
      <c r="BW17" s="13">
        <v>0</v>
      </c>
      <c r="BX17" s="57">
        <v>0</v>
      </c>
      <c r="BY17" s="57">
        <v>0</v>
      </c>
      <c r="BZ17" s="57">
        <v>0</v>
      </c>
      <c r="CA17" s="14">
        <f>SUM(BW17:BZ17)</f>
        <v>0</v>
      </c>
      <c r="CC17" s="13"/>
      <c r="CD17" s="57"/>
      <c r="CE17" s="57"/>
      <c r="CF17" s="57"/>
      <c r="CG17" s="14">
        <f>SUM(CC17:CF17)</f>
        <v>0</v>
      </c>
      <c r="CI17" s="13"/>
      <c r="CJ17" s="57"/>
      <c r="CK17" s="57"/>
      <c r="CL17" s="57"/>
      <c r="CM17" s="14">
        <f>SUM(CI17:CL17)</f>
        <v>0</v>
      </c>
    </row>
    <row r="18" spans="1:91" s="11" customFormat="1" ht="12.75" customHeight="1">
      <c r="A18" s="4" t="s">
        <v>36</v>
      </c>
      <c r="B18" s="9"/>
      <c r="C18" s="19">
        <v>-19</v>
      </c>
      <c r="D18" s="19">
        <v>-18</v>
      </c>
      <c r="E18" s="19">
        <v>-4</v>
      </c>
      <c r="F18" s="19">
        <v>-6</v>
      </c>
      <c r="G18" s="14">
        <f>SUM(C18:F18)</f>
        <v>-47</v>
      </c>
      <c r="H18" s="15"/>
      <c r="I18" s="19">
        <v>-30</v>
      </c>
      <c r="J18" s="19">
        <v>-14</v>
      </c>
      <c r="K18" s="19">
        <v>-27</v>
      </c>
      <c r="L18" s="19">
        <v>-23</v>
      </c>
      <c r="M18" s="14">
        <f>SUM(I18:L18)</f>
        <v>-94</v>
      </c>
      <c r="N18" s="4"/>
      <c r="O18" s="19">
        <v>-11</v>
      </c>
      <c r="P18" s="19">
        <v>1</v>
      </c>
      <c r="Q18" s="19">
        <v>-17</v>
      </c>
      <c r="R18" s="19">
        <v>-7</v>
      </c>
      <c r="S18" s="14">
        <f>SUM(O18:R18)</f>
        <v>-34</v>
      </c>
      <c r="T18" s="4"/>
      <c r="U18" s="19">
        <f>-52+41</f>
        <v>-11</v>
      </c>
      <c r="V18" s="19">
        <v>20</v>
      </c>
      <c r="W18" s="19">
        <v>-29</v>
      </c>
      <c r="X18" s="19">
        <v>4</v>
      </c>
      <c r="Y18" s="14">
        <f>SUM(U18:X18)</f>
        <v>-16</v>
      </c>
      <c r="Z18" s="4"/>
      <c r="AA18" s="19">
        <v>-41</v>
      </c>
      <c r="AB18" s="19">
        <v>19</v>
      </c>
      <c r="AC18" s="19">
        <v>-28</v>
      </c>
      <c r="AD18" s="19">
        <v>2</v>
      </c>
      <c r="AE18" s="14">
        <f>SUM(AA18:AD18)</f>
        <v>-48</v>
      </c>
      <c r="AF18" s="4"/>
      <c r="AG18" s="19">
        <v>-12</v>
      </c>
      <c r="AH18" s="19">
        <v>-12</v>
      </c>
      <c r="AI18" s="19">
        <v>-14</v>
      </c>
      <c r="AJ18" s="19">
        <v>-31</v>
      </c>
      <c r="AK18" s="14">
        <f>SUM(AG18:AJ18)</f>
        <v>-69</v>
      </c>
      <c r="AL18" s="4"/>
      <c r="AM18" s="19">
        <v>-38</v>
      </c>
      <c r="AN18" s="19">
        <v>-21</v>
      </c>
      <c r="AO18" s="19">
        <v>-26</v>
      </c>
      <c r="AP18" s="19">
        <v>-9</v>
      </c>
      <c r="AQ18" s="14">
        <f>SUM(AM18:AP18)</f>
        <v>-94</v>
      </c>
      <c r="AR18" s="4"/>
      <c r="AS18" s="19">
        <v>-23</v>
      </c>
      <c r="AT18" s="19">
        <v>-51</v>
      </c>
      <c r="AU18" s="19">
        <v>-27</v>
      </c>
      <c r="AV18" s="19">
        <v>-46</v>
      </c>
      <c r="AW18" s="14">
        <f>SUM(AS18:AV18)</f>
        <v>-147</v>
      </c>
      <c r="AX18" s="4"/>
      <c r="AY18" s="19">
        <v>-51</v>
      </c>
      <c r="AZ18" s="19">
        <v>-36</v>
      </c>
      <c r="BA18" s="72">
        <v>-16</v>
      </c>
      <c r="BB18" s="72">
        <v>-44</v>
      </c>
      <c r="BC18" s="14">
        <f>SUM(AY18:BB18)</f>
        <v>-147</v>
      </c>
      <c r="BD18" s="4"/>
      <c r="BE18" s="19">
        <v>-39</v>
      </c>
      <c r="BF18" s="83">
        <v>-41</v>
      </c>
      <c r="BG18" s="72">
        <v>-36</v>
      </c>
      <c r="BH18" s="72">
        <v>-10</v>
      </c>
      <c r="BI18" s="14">
        <f>SUM(BE18:BH18)</f>
        <v>-126</v>
      </c>
      <c r="BK18" s="19">
        <v>-26</v>
      </c>
      <c r="BL18" s="72">
        <v>-39</v>
      </c>
      <c r="BM18" s="72">
        <v>-26</v>
      </c>
      <c r="BN18" s="72">
        <v>-63</v>
      </c>
      <c r="BO18" s="14">
        <f>SUM(BK18:BN18)</f>
        <v>-154</v>
      </c>
      <c r="BQ18" s="19">
        <v>-29</v>
      </c>
      <c r="BR18" s="72">
        <v>-38</v>
      </c>
      <c r="BS18" s="72">
        <v>-37</v>
      </c>
      <c r="BT18" s="72">
        <v>-52</v>
      </c>
      <c r="BU18" s="14">
        <f>SUM(BQ18:BT18)</f>
        <v>-156</v>
      </c>
      <c r="BW18" s="19">
        <v>-39</v>
      </c>
      <c r="BX18" s="72">
        <v>-52</v>
      </c>
      <c r="BY18" s="72">
        <v>-61</v>
      </c>
      <c r="BZ18" s="72">
        <v>-55</v>
      </c>
      <c r="CA18" s="14">
        <f>SUM(BW18:BZ18)</f>
        <v>-207</v>
      </c>
      <c r="CC18" s="19">
        <v>-52</v>
      </c>
      <c r="CD18" s="72">
        <v>-55</v>
      </c>
      <c r="CE18" s="72">
        <v>-44</v>
      </c>
      <c r="CF18" s="72">
        <v>-73</v>
      </c>
      <c r="CG18" s="14">
        <f>SUM(CC18:CF18)</f>
        <v>-224</v>
      </c>
      <c r="CI18" s="19">
        <v>-44</v>
      </c>
      <c r="CJ18" s="72">
        <v>-61</v>
      </c>
      <c r="CK18" s="72">
        <v>-54</v>
      </c>
      <c r="CL18" s="72">
        <v>-62</v>
      </c>
      <c r="CM18" s="14">
        <f>SUM(CI18:CL18)</f>
        <v>-221</v>
      </c>
    </row>
    <row r="19" spans="1:91">
      <c r="A19" s="11" t="s">
        <v>142</v>
      </c>
      <c r="B19" s="6"/>
      <c r="C19" s="16">
        <f>SUM(C15:C18)</f>
        <v>-76</v>
      </c>
      <c r="D19" s="16">
        <f>SUM(D15:D18)</f>
        <v>-1</v>
      </c>
      <c r="E19" s="16">
        <f>SUM(E15:E18)</f>
        <v>-26</v>
      </c>
      <c r="F19" s="16">
        <f>SUM(F15:F18)</f>
        <v>-67</v>
      </c>
      <c r="G19" s="17">
        <f>SUM(G15:G18)</f>
        <v>-170</v>
      </c>
      <c r="H19" s="15"/>
      <c r="I19" s="16">
        <f>SUM(I15:I18)</f>
        <v>34</v>
      </c>
      <c r="J19" s="16">
        <f>SUM(J15:J18)</f>
        <v>-62</v>
      </c>
      <c r="K19" s="16">
        <f>SUM(K15:K18)</f>
        <v>5</v>
      </c>
      <c r="L19" s="16">
        <f>SUM(L15:L18)</f>
        <v>60</v>
      </c>
      <c r="M19" s="17">
        <f>SUM(M15:M18)</f>
        <v>37</v>
      </c>
      <c r="N19" s="11"/>
      <c r="O19" s="16">
        <f>SUM(O15:O18)</f>
        <v>-31</v>
      </c>
      <c r="P19" s="16">
        <f>SUM(P15:P18)</f>
        <v>-22</v>
      </c>
      <c r="Q19" s="16">
        <f>SUM(Q15:Q18)</f>
        <v>-46</v>
      </c>
      <c r="R19" s="16">
        <f>SUM(R15:R18)</f>
        <v>-51</v>
      </c>
      <c r="S19" s="17">
        <f>SUM(S15:S18)</f>
        <v>-150</v>
      </c>
      <c r="T19" s="11"/>
      <c r="U19" s="16">
        <f>SUM(U14:U18)</f>
        <v>-64</v>
      </c>
      <c r="V19" s="16">
        <f>SUM(V14:V18)</f>
        <v>-907</v>
      </c>
      <c r="W19" s="16">
        <f>SUM(W14:W18)</f>
        <v>170</v>
      </c>
      <c r="X19" s="16">
        <f>SUM(X14:X18)</f>
        <v>-23</v>
      </c>
      <c r="Y19" s="17">
        <f>SUM(Y14:Y18)</f>
        <v>-824</v>
      </c>
      <c r="Z19" s="11"/>
      <c r="AA19" s="16">
        <f>SUM(AA14:AA18)</f>
        <v>-121</v>
      </c>
      <c r="AB19" s="16">
        <f>SUM(AB14:AB18)</f>
        <v>-901</v>
      </c>
      <c r="AC19" s="16">
        <f>SUM(AC14:AC18)</f>
        <v>171</v>
      </c>
      <c r="AD19" s="16">
        <f>SUM(AD14:AD18)</f>
        <v>16</v>
      </c>
      <c r="AE19" s="17">
        <f>SUM(AE14:AE18)</f>
        <v>-835</v>
      </c>
      <c r="AF19" s="11"/>
      <c r="AG19" s="16">
        <f>SUM(AG14:AG18)</f>
        <v>24</v>
      </c>
      <c r="AH19" s="16">
        <f>SUM(AH14:AH18)</f>
        <v>-27</v>
      </c>
      <c r="AI19" s="16">
        <f>SUM(AI14:AI18)</f>
        <v>-70</v>
      </c>
      <c r="AJ19" s="16">
        <f>SUM(AJ14:AJ18)</f>
        <v>-44</v>
      </c>
      <c r="AK19" s="17">
        <f>SUM(AK14:AK18)</f>
        <v>-117</v>
      </c>
      <c r="AL19" s="11"/>
      <c r="AM19" s="16">
        <f>SUM(AM14:AM18)</f>
        <v>-115</v>
      </c>
      <c r="AN19" s="16">
        <f>SUM(AN14:AN18)</f>
        <v>155</v>
      </c>
      <c r="AO19" s="16">
        <f>SUM(AO14:AO18)</f>
        <v>-130</v>
      </c>
      <c r="AP19" s="16">
        <f>SUM(AP14:AP18)</f>
        <v>-105</v>
      </c>
      <c r="AQ19" s="17">
        <f>SUM(AQ14:AQ18)</f>
        <v>-195</v>
      </c>
      <c r="AR19" s="11"/>
      <c r="AS19" s="16">
        <f>SUM(AS14:AS18)</f>
        <v>-1029</v>
      </c>
      <c r="AT19" s="16">
        <f>SUM(AT14:AT18)</f>
        <v>-239</v>
      </c>
      <c r="AU19" s="16">
        <f>SUM(AU14:AU18)</f>
        <v>-408</v>
      </c>
      <c r="AV19" s="16">
        <f>SUM(AV14:AV18)</f>
        <v>-219</v>
      </c>
      <c r="AW19" s="17">
        <f>SUM(AW14:AW18)</f>
        <v>-1895</v>
      </c>
      <c r="AX19" s="11"/>
      <c r="AY19" s="16">
        <f>SUM(AY14:AY18)</f>
        <v>65</v>
      </c>
      <c r="AZ19" s="16">
        <f>SUM(AZ14:AZ18)</f>
        <v>-284</v>
      </c>
      <c r="BA19" s="16">
        <f>SUM(BA14:BA18)</f>
        <v>-209</v>
      </c>
      <c r="BB19" s="60">
        <f>SUM(BB14:BB18)</f>
        <v>-348</v>
      </c>
      <c r="BC19" s="17">
        <f>SUM(BC14:BC18)</f>
        <v>-776</v>
      </c>
      <c r="BD19" s="11"/>
      <c r="BE19" s="16">
        <f>SUM(BE14:BE18)</f>
        <v>-205</v>
      </c>
      <c r="BF19" s="16">
        <f>SUM(BF14:BF18)</f>
        <v>-296</v>
      </c>
      <c r="BG19" s="60">
        <f>SUM(BG14:BG18)</f>
        <v>-283</v>
      </c>
      <c r="BH19" s="60">
        <f>SUM(BH14:BH18)</f>
        <v>-244</v>
      </c>
      <c r="BI19" s="17">
        <f>SUM(BI14:BI18)</f>
        <v>-1028</v>
      </c>
      <c r="BK19" s="16">
        <f>SUM(BK14:BK18)</f>
        <v>-321</v>
      </c>
      <c r="BL19" s="60">
        <f>SUM(BL14:BL18)</f>
        <v>-137</v>
      </c>
      <c r="BM19" s="60">
        <f>SUM(BM14:BM18)</f>
        <v>-163</v>
      </c>
      <c r="BN19" s="60">
        <f>SUM(BN14:BN18)</f>
        <v>-228</v>
      </c>
      <c r="BO19" s="17">
        <f>SUM(BO14:BO18)</f>
        <v>-849</v>
      </c>
      <c r="BQ19" s="16">
        <f>SUM(BQ14:BQ18)</f>
        <v>-232</v>
      </c>
      <c r="BR19" s="60">
        <f>SUM(BR14:BR18)</f>
        <v>-188</v>
      </c>
      <c r="BS19" s="60">
        <f>SUM(BS14:BS18)</f>
        <v>-195</v>
      </c>
      <c r="BT19" s="60">
        <f>SUM(BT14:BT18)</f>
        <v>-192</v>
      </c>
      <c r="BU19" s="17">
        <f>SUM(BU14:BU18)</f>
        <v>-807</v>
      </c>
      <c r="BW19" s="16">
        <f>SUM(BW14:BW18)</f>
        <v>-134</v>
      </c>
      <c r="BX19" s="60">
        <f>SUM(BX14:BX18)</f>
        <v>-119</v>
      </c>
      <c r="BY19" s="60">
        <f>SUM(BY14:BY18)</f>
        <v>-117</v>
      </c>
      <c r="BZ19" s="60">
        <f>SUM(BZ14:BZ18)</f>
        <v>-162</v>
      </c>
      <c r="CA19" s="17">
        <f>SUM(CA14:CA18)</f>
        <v>-532</v>
      </c>
      <c r="CC19" s="16">
        <f>SUM(CC14:CC18)</f>
        <v>-113</v>
      </c>
      <c r="CD19" s="16">
        <f>SUM(CD14:CD18)</f>
        <v>-112</v>
      </c>
      <c r="CE19" s="16">
        <f>SUM(CE14:CE18)</f>
        <v>-326</v>
      </c>
      <c r="CF19" s="16">
        <f>SUM(CF14:CF18)</f>
        <v>-143</v>
      </c>
      <c r="CG19" s="17">
        <f>SUM(CG14:CG18)</f>
        <v>-694</v>
      </c>
      <c r="CI19" s="16">
        <f>SUM(CI14:CI18)</f>
        <v>-12</v>
      </c>
      <c r="CJ19" s="16">
        <f>SUM(CJ14:CJ18)</f>
        <v>-110</v>
      </c>
      <c r="CK19" s="16">
        <f>SUM(CK14:CK18)</f>
        <v>-124</v>
      </c>
      <c r="CL19" s="16">
        <f>SUM(CL14:CL18)</f>
        <v>-130</v>
      </c>
      <c r="CM19" s="17">
        <f>SUM(CM14:CM18)</f>
        <v>-376</v>
      </c>
    </row>
    <row r="20" spans="1:91" s="11" customFormat="1" ht="18.75" customHeight="1">
      <c r="A20" s="4"/>
      <c r="B20" s="9"/>
      <c r="C20" s="13"/>
      <c r="D20" s="13"/>
      <c r="E20" s="13"/>
      <c r="F20" s="13"/>
      <c r="G20" s="14"/>
      <c r="H20" s="15"/>
      <c r="I20" s="13"/>
      <c r="J20" s="13"/>
      <c r="K20" s="13"/>
      <c r="L20" s="13"/>
      <c r="M20" s="14"/>
      <c r="N20" s="4"/>
      <c r="O20" s="13"/>
      <c r="P20" s="13"/>
      <c r="Q20" s="13"/>
      <c r="R20" s="13"/>
      <c r="S20" s="14"/>
      <c r="T20" s="4"/>
      <c r="U20" s="13"/>
      <c r="V20" s="13"/>
      <c r="W20" s="13"/>
      <c r="X20" s="13"/>
      <c r="Y20" s="14"/>
      <c r="Z20" s="4"/>
      <c r="AA20" s="13"/>
      <c r="AB20" s="13"/>
      <c r="AC20" s="13"/>
      <c r="AD20" s="13"/>
      <c r="AE20" s="14"/>
      <c r="AF20" s="4"/>
      <c r="AG20" s="13"/>
      <c r="AH20" s="13"/>
      <c r="AI20" s="13"/>
      <c r="AJ20" s="13"/>
      <c r="AK20" s="14"/>
      <c r="AL20" s="4"/>
      <c r="AM20" s="13"/>
      <c r="AN20" s="13"/>
      <c r="AO20" s="13"/>
      <c r="AP20" s="13"/>
      <c r="AQ20" s="14"/>
      <c r="AR20" s="4"/>
      <c r="AS20" s="13"/>
      <c r="AT20" s="13"/>
      <c r="AU20" s="13"/>
      <c r="AV20" s="13"/>
      <c r="AW20" s="14"/>
      <c r="AX20" s="4"/>
      <c r="AY20" s="13"/>
      <c r="AZ20" s="13"/>
      <c r="BA20" s="13"/>
      <c r="BB20" s="57"/>
      <c r="BC20" s="14"/>
      <c r="BD20" s="4"/>
      <c r="BE20" s="13"/>
      <c r="BF20" s="13"/>
      <c r="BG20" s="57"/>
      <c r="BH20" s="57"/>
      <c r="BI20" s="14"/>
      <c r="BK20" s="13"/>
      <c r="BL20" s="57"/>
      <c r="BM20" s="57"/>
      <c r="BN20" s="57"/>
      <c r="BO20" s="14"/>
      <c r="BQ20" s="13"/>
      <c r="BR20" s="57"/>
      <c r="BS20" s="57"/>
      <c r="BT20" s="57"/>
      <c r="BU20" s="14"/>
      <c r="BW20" s="13"/>
      <c r="BX20" s="57"/>
      <c r="BY20" s="57"/>
      <c r="BZ20" s="57"/>
      <c r="CA20" s="14"/>
      <c r="CC20" s="13"/>
      <c r="CD20" s="57"/>
      <c r="CE20" s="57"/>
      <c r="CF20" s="57"/>
      <c r="CG20" s="14"/>
      <c r="CI20" s="13"/>
      <c r="CJ20" s="57"/>
      <c r="CK20" s="57"/>
      <c r="CL20" s="57"/>
      <c r="CM20" s="14"/>
    </row>
    <row r="21" spans="1:91">
      <c r="A21" s="11" t="s">
        <v>143</v>
      </c>
      <c r="B21" s="6"/>
      <c r="C21" s="18">
        <f>C12+C19</f>
        <v>-101</v>
      </c>
      <c r="D21" s="18">
        <f>D12+D19</f>
        <v>106</v>
      </c>
      <c r="E21" s="18">
        <f>E12+E19</f>
        <v>-11</v>
      </c>
      <c r="F21" s="18">
        <f>F12+F19</f>
        <v>282</v>
      </c>
      <c r="G21" s="14">
        <f>G12+G19</f>
        <v>276</v>
      </c>
      <c r="H21" s="15"/>
      <c r="I21" s="18">
        <f>I12+I19</f>
        <v>-37</v>
      </c>
      <c r="J21" s="18">
        <f>J12+J19</f>
        <v>-2</v>
      </c>
      <c r="K21" s="18">
        <f>K12+K19</f>
        <v>146</v>
      </c>
      <c r="L21" s="18">
        <f>L12+L19</f>
        <v>284</v>
      </c>
      <c r="M21" s="14">
        <f>M12+M19</f>
        <v>391</v>
      </c>
      <c r="N21" s="11"/>
      <c r="O21" s="18">
        <f>O12+O19</f>
        <v>-83</v>
      </c>
      <c r="P21" s="18">
        <f>P12+P19</f>
        <v>-72</v>
      </c>
      <c r="Q21" s="18">
        <f>Q12+Q19</f>
        <v>70</v>
      </c>
      <c r="R21" s="18">
        <f>R12+R19</f>
        <v>170</v>
      </c>
      <c r="S21" s="14">
        <f>S12+S19</f>
        <v>85</v>
      </c>
      <c r="T21" s="11"/>
      <c r="U21" s="18">
        <f>U12+U19</f>
        <v>-188</v>
      </c>
      <c r="V21" s="18">
        <f>V12+V19</f>
        <v>-945</v>
      </c>
      <c r="W21" s="18">
        <f>W12+W19</f>
        <v>301</v>
      </c>
      <c r="X21" s="18">
        <f>X12+X19</f>
        <v>278</v>
      </c>
      <c r="Y21" s="14">
        <f>Y12+Y19</f>
        <v>-554</v>
      </c>
      <c r="Z21" s="11"/>
      <c r="AA21" s="18">
        <f>AA12+AA19</f>
        <v>-240</v>
      </c>
      <c r="AB21" s="18">
        <f>AB12+AB19</f>
        <v>-921</v>
      </c>
      <c r="AC21" s="18">
        <f>AC12+AC19</f>
        <v>320</v>
      </c>
      <c r="AD21" s="18">
        <f>AD12+AD19</f>
        <v>291</v>
      </c>
      <c r="AE21" s="14">
        <f>AE12+AE19</f>
        <v>-550</v>
      </c>
      <c r="AF21" s="11"/>
      <c r="AG21" s="18">
        <f>AG12+AG19</f>
        <v>-164</v>
      </c>
      <c r="AH21" s="18">
        <f>AH12+AH19</f>
        <v>-7</v>
      </c>
      <c r="AI21" s="18">
        <f>AI12+AI19</f>
        <v>-15</v>
      </c>
      <c r="AJ21" s="18">
        <f>AJ12+AJ19</f>
        <v>110</v>
      </c>
      <c r="AK21" s="14">
        <f>AK12+AK19</f>
        <v>-76</v>
      </c>
      <c r="AL21" s="11"/>
      <c r="AM21" s="18">
        <f>AM12+AM19</f>
        <v>-331</v>
      </c>
      <c r="AN21" s="18">
        <f>AN12+AN19</f>
        <v>234</v>
      </c>
      <c r="AO21" s="18">
        <f>AO12+AO19</f>
        <v>56</v>
      </c>
      <c r="AP21" s="18">
        <f>AP12+AP19</f>
        <v>111</v>
      </c>
      <c r="AQ21" s="14">
        <f>AQ12+AQ19</f>
        <v>70</v>
      </c>
      <c r="AR21" s="11"/>
      <c r="AS21" s="18">
        <f>AS12+AS19</f>
        <v>-979</v>
      </c>
      <c r="AT21" s="18">
        <f>AT12+AT19</f>
        <v>-99</v>
      </c>
      <c r="AU21" s="18">
        <f>AU12+AU19</f>
        <v>17</v>
      </c>
      <c r="AV21" s="18">
        <f>AV12+AV19</f>
        <v>328</v>
      </c>
      <c r="AW21" s="14">
        <f>AW12+AW19</f>
        <v>-733</v>
      </c>
      <c r="AX21" s="11"/>
      <c r="AY21" s="18">
        <f>AY12+AY19</f>
        <v>-185</v>
      </c>
      <c r="AZ21" s="18">
        <f>AZ12+AZ19</f>
        <v>-307</v>
      </c>
      <c r="BA21" s="18">
        <f>BA12+BA19</f>
        <v>-30</v>
      </c>
      <c r="BB21" s="74">
        <f>BB12+BB19</f>
        <v>509</v>
      </c>
      <c r="BC21" s="14">
        <f>BC12+BC19</f>
        <v>-13</v>
      </c>
      <c r="BD21" s="11"/>
      <c r="BE21" s="18">
        <f>BE12+BE19</f>
        <v>-37.699999999999989</v>
      </c>
      <c r="BF21" s="18">
        <f>BF12+BF19</f>
        <v>-275</v>
      </c>
      <c r="BG21" s="74">
        <f>BG12+BG19</f>
        <v>-80</v>
      </c>
      <c r="BH21" s="74">
        <f>BH12+BH19</f>
        <v>-53</v>
      </c>
      <c r="BI21" s="14">
        <f>BI12+BI19</f>
        <v>-445.70000000000005</v>
      </c>
      <c r="BK21" s="18">
        <f>BK12+BK19</f>
        <v>-542</v>
      </c>
      <c r="BL21" s="74">
        <f>BL12+BL19</f>
        <v>-400</v>
      </c>
      <c r="BM21" s="74">
        <f>BM12+BM19</f>
        <v>-313</v>
      </c>
      <c r="BN21" s="74">
        <f>BN12+BN19</f>
        <v>32</v>
      </c>
      <c r="BO21" s="14">
        <f>BO12+BO19</f>
        <v>-1223</v>
      </c>
      <c r="BQ21" s="18">
        <f>BQ12+BQ19</f>
        <v>-685</v>
      </c>
      <c r="BR21" s="74">
        <f>BR12+BR19</f>
        <v>-116</v>
      </c>
      <c r="BS21" s="74">
        <f>BS12+BS19</f>
        <v>204</v>
      </c>
      <c r="BT21" s="74">
        <f>BT12+BT19</f>
        <v>348</v>
      </c>
      <c r="BU21" s="14">
        <f>BU12+BU19</f>
        <v>-249</v>
      </c>
      <c r="BW21" s="18">
        <f>BW12+BW19</f>
        <v>-107</v>
      </c>
      <c r="BX21" s="74">
        <f>BX12+BX19</f>
        <v>-53</v>
      </c>
      <c r="BY21" s="74">
        <f>BY12+BY19</f>
        <v>-87</v>
      </c>
      <c r="BZ21" s="74">
        <f>BZ12+BZ19</f>
        <v>837</v>
      </c>
      <c r="CA21" s="14">
        <f>CA12+CA19</f>
        <v>590</v>
      </c>
      <c r="CC21" s="18">
        <f>CC12+CC19</f>
        <v>-634</v>
      </c>
      <c r="CD21" s="18">
        <f>CD12+CD19</f>
        <v>-122</v>
      </c>
      <c r="CE21" s="18">
        <f>CE12+CE19</f>
        <v>30</v>
      </c>
      <c r="CF21" s="18">
        <f>CF12+CF19</f>
        <v>577</v>
      </c>
      <c r="CG21" s="14">
        <f>CG12+CG19</f>
        <v>-149</v>
      </c>
      <c r="CI21" s="18">
        <f>CI12+CI19</f>
        <v>187</v>
      </c>
      <c r="CJ21" s="18">
        <f>CJ12+CJ19</f>
        <v>-1</v>
      </c>
      <c r="CK21" s="18">
        <f>CK12+CK19</f>
        <v>5</v>
      </c>
      <c r="CL21" s="18">
        <f>CL12+CL19</f>
        <v>1016</v>
      </c>
      <c r="CM21" s="14">
        <f>CM12+CM19</f>
        <v>1207</v>
      </c>
    </row>
    <row r="22" spans="1:91">
      <c r="C22" s="13"/>
      <c r="D22" s="13"/>
      <c r="E22" s="13"/>
      <c r="F22" s="13"/>
      <c r="G22" s="14"/>
      <c r="H22" s="15"/>
      <c r="I22" s="13"/>
      <c r="J22" s="13"/>
      <c r="K22" s="13"/>
      <c r="L22" s="13"/>
      <c r="M22" s="14"/>
      <c r="O22" s="13"/>
      <c r="P22" s="13"/>
      <c r="Q22" s="13"/>
      <c r="R22" s="13"/>
      <c r="S22" s="14"/>
      <c r="U22" s="13"/>
      <c r="V22" s="13"/>
      <c r="W22" s="13"/>
      <c r="X22" s="13"/>
      <c r="Y22" s="14"/>
      <c r="AA22" s="13"/>
      <c r="AB22" s="13"/>
      <c r="AC22" s="13"/>
      <c r="AD22" s="13"/>
      <c r="AE22" s="14"/>
      <c r="AG22" s="13"/>
      <c r="AH22" s="13"/>
      <c r="AI22" s="13"/>
      <c r="AJ22" s="13"/>
      <c r="AK22" s="14"/>
      <c r="AM22" s="13"/>
      <c r="AN22" s="13"/>
      <c r="AO22" s="13"/>
      <c r="AP22" s="13"/>
      <c r="AQ22" s="14"/>
      <c r="AS22" s="13"/>
      <c r="AT22" s="13"/>
      <c r="AU22" s="13"/>
      <c r="AV22" s="13"/>
      <c r="AW22" s="14"/>
      <c r="AY22" s="13"/>
      <c r="AZ22" s="13"/>
      <c r="BA22" s="13"/>
      <c r="BB22" s="57"/>
      <c r="BC22" s="14"/>
      <c r="BE22" s="13"/>
      <c r="BF22" s="13"/>
      <c r="BG22" s="57"/>
      <c r="BH22" s="57"/>
      <c r="BI22" s="14"/>
      <c r="BK22" s="13"/>
      <c r="BL22" s="57"/>
      <c r="BM22" s="57"/>
      <c r="BN22" s="57"/>
      <c r="BO22" s="14"/>
      <c r="BQ22" s="13"/>
      <c r="BR22" s="57"/>
      <c r="BS22" s="57"/>
      <c r="BT22" s="57"/>
      <c r="BU22" s="14"/>
      <c r="BW22" s="13"/>
      <c r="BX22" s="57"/>
      <c r="BY22" s="57"/>
      <c r="BZ22" s="57"/>
      <c r="CA22" s="14"/>
      <c r="CC22" s="13"/>
      <c r="CD22" s="57"/>
      <c r="CE22" s="57"/>
      <c r="CF22" s="57"/>
      <c r="CG22" s="14"/>
      <c r="CI22" s="13"/>
      <c r="CJ22" s="57"/>
      <c r="CK22" s="57"/>
      <c r="CL22" s="57"/>
      <c r="CM22" s="14"/>
    </row>
    <row r="23" spans="1:91" ht="12.75" customHeight="1">
      <c r="A23" s="4" t="s">
        <v>35</v>
      </c>
      <c r="C23" s="13">
        <v>0</v>
      </c>
      <c r="D23" s="13">
        <v>-2806</v>
      </c>
      <c r="E23" s="13">
        <v>0</v>
      </c>
      <c r="F23" s="13">
        <v>0</v>
      </c>
      <c r="G23" s="14">
        <f>SUM(C23:F23)</f>
        <v>-2806</v>
      </c>
      <c r="H23" s="15"/>
      <c r="I23" s="13">
        <v>0</v>
      </c>
      <c r="J23" s="13">
        <v>-100</v>
      </c>
      <c r="K23" s="13">
        <v>0</v>
      </c>
      <c r="L23" s="13">
        <v>0</v>
      </c>
      <c r="M23" s="14">
        <f>SUM(I23:L23)</f>
        <v>-100</v>
      </c>
      <c r="O23" s="13">
        <v>0</v>
      </c>
      <c r="P23" s="13">
        <v>-100</v>
      </c>
      <c r="Q23" s="13">
        <v>0</v>
      </c>
      <c r="R23" s="13">
        <v>0</v>
      </c>
      <c r="S23" s="14">
        <f>SUM(O23:R23)</f>
        <v>-100</v>
      </c>
      <c r="U23" s="13">
        <v>0</v>
      </c>
      <c r="V23" s="13">
        <v>-200</v>
      </c>
      <c r="W23" s="13">
        <v>0</v>
      </c>
      <c r="X23" s="13">
        <v>0</v>
      </c>
      <c r="Y23" s="14">
        <f>SUM(U23:X23)</f>
        <v>-200</v>
      </c>
      <c r="AA23" s="13">
        <v>0</v>
      </c>
      <c r="AB23" s="13">
        <v>-200</v>
      </c>
      <c r="AC23" s="13">
        <v>0</v>
      </c>
      <c r="AD23" s="13">
        <v>0</v>
      </c>
      <c r="AE23" s="14">
        <f>SUM(AA23:AD23)</f>
        <v>-200</v>
      </c>
      <c r="AG23" s="13">
        <v>0</v>
      </c>
      <c r="AH23" s="13">
        <v>-196</v>
      </c>
      <c r="AI23" s="13">
        <v>0</v>
      </c>
      <c r="AJ23" s="13">
        <v>0</v>
      </c>
      <c r="AK23" s="14">
        <f>SUM(AG23:AJ23)</f>
        <v>-196</v>
      </c>
      <c r="AM23" s="13"/>
      <c r="AN23" s="13">
        <v>-294</v>
      </c>
      <c r="AO23" s="13">
        <v>0</v>
      </c>
      <c r="AP23" s="13">
        <v>0</v>
      </c>
      <c r="AQ23" s="14">
        <f>SUM(AM23:AP23)</f>
        <v>-294</v>
      </c>
      <c r="AS23" s="47">
        <v>0</v>
      </c>
      <c r="AT23" s="47">
        <v>-236</v>
      </c>
      <c r="AU23" s="47">
        <v>0</v>
      </c>
      <c r="AV23" s="47">
        <v>0</v>
      </c>
      <c r="AW23" s="58">
        <f>SUM(AS23:AV23)</f>
        <v>-236</v>
      </c>
      <c r="AX23" s="24"/>
      <c r="AY23" s="47">
        <v>0</v>
      </c>
      <c r="AZ23" s="47">
        <v>-260</v>
      </c>
      <c r="BA23" s="47">
        <v>0</v>
      </c>
      <c r="BB23" s="54">
        <v>0</v>
      </c>
      <c r="BC23" s="58">
        <f>SUM(AY23:BB23)</f>
        <v>-260</v>
      </c>
      <c r="BE23" s="13">
        <v>0</v>
      </c>
      <c r="BF23" s="82">
        <v>0</v>
      </c>
      <c r="BG23" s="57">
        <v>0</v>
      </c>
      <c r="BH23" s="57">
        <v>0</v>
      </c>
      <c r="BI23" s="14">
        <f>SUM(BE23:BH23)</f>
        <v>0</v>
      </c>
      <c r="BK23" s="13">
        <v>-83</v>
      </c>
      <c r="BL23" s="57"/>
      <c r="BM23" s="57"/>
      <c r="BN23" s="57">
        <v>0</v>
      </c>
      <c r="BO23" s="14">
        <f>SUM(BK23:BN23)</f>
        <v>-83</v>
      </c>
      <c r="BQ23" s="13">
        <v>-47</v>
      </c>
      <c r="BR23" s="57">
        <v>0</v>
      </c>
      <c r="BS23" s="57">
        <v>0</v>
      </c>
      <c r="BT23" s="57">
        <v>0</v>
      </c>
      <c r="BU23" s="14">
        <f>SUM(BQ23:BT23)</f>
        <v>-47</v>
      </c>
      <c r="BW23" s="13">
        <v>0</v>
      </c>
      <c r="BX23" s="57">
        <v>-48</v>
      </c>
      <c r="BY23" s="57">
        <v>0</v>
      </c>
      <c r="BZ23" s="57">
        <v>0</v>
      </c>
      <c r="CA23" s="14">
        <f>SUM(BW23:BZ23)</f>
        <v>-48</v>
      </c>
      <c r="CC23" s="13">
        <v>-191</v>
      </c>
      <c r="CD23" s="57">
        <v>0</v>
      </c>
      <c r="CE23" s="57">
        <v>0</v>
      </c>
      <c r="CF23" s="57">
        <v>0</v>
      </c>
      <c r="CG23" s="14">
        <f>SUM(CC23:CF23)</f>
        <v>-191</v>
      </c>
      <c r="CI23" s="13">
        <v>-84</v>
      </c>
      <c r="CJ23" s="57">
        <v>0</v>
      </c>
      <c r="CK23" s="57">
        <v>0</v>
      </c>
      <c r="CL23" s="57">
        <v>0</v>
      </c>
      <c r="CM23" s="14">
        <f>SUM(CI23:CL23)</f>
        <v>-84</v>
      </c>
    </row>
    <row r="24" spans="1:91" ht="12.75" customHeight="1">
      <c r="A24" s="4" t="s">
        <v>165</v>
      </c>
      <c r="C24" s="13"/>
      <c r="D24" s="13"/>
      <c r="E24" s="13"/>
      <c r="F24" s="13"/>
      <c r="G24" s="14"/>
      <c r="H24" s="15"/>
      <c r="I24" s="13"/>
      <c r="J24" s="13"/>
      <c r="K24" s="13"/>
      <c r="L24" s="13"/>
      <c r="M24" s="14"/>
      <c r="O24" s="13"/>
      <c r="P24" s="13"/>
      <c r="Q24" s="13"/>
      <c r="R24" s="13"/>
      <c r="S24" s="14"/>
      <c r="U24" s="13"/>
      <c r="V24" s="13"/>
      <c r="W24" s="13"/>
      <c r="X24" s="13"/>
      <c r="Y24" s="14"/>
      <c r="AA24" s="13"/>
      <c r="AB24" s="13"/>
      <c r="AC24" s="13"/>
      <c r="AD24" s="13"/>
      <c r="AE24" s="14"/>
      <c r="AG24" s="13"/>
      <c r="AH24" s="13"/>
      <c r="AI24" s="13"/>
      <c r="AJ24" s="13"/>
      <c r="AK24" s="14"/>
      <c r="AM24" s="13"/>
      <c r="AN24" s="13"/>
      <c r="AO24" s="13"/>
      <c r="AP24" s="13"/>
      <c r="AQ24" s="14"/>
      <c r="AS24" s="47"/>
      <c r="AT24" s="47"/>
      <c r="AU24" s="47"/>
      <c r="AV24" s="47"/>
      <c r="AW24" s="58"/>
      <c r="AX24" s="24"/>
      <c r="AY24" s="47"/>
      <c r="AZ24" s="47"/>
      <c r="BA24" s="47"/>
      <c r="BB24" s="54"/>
      <c r="BC24" s="58"/>
      <c r="BE24" s="13"/>
      <c r="BF24" s="82"/>
      <c r="BG24" s="57"/>
      <c r="BH24" s="57"/>
      <c r="BI24" s="14"/>
      <c r="BK24" s="13">
        <v>-4</v>
      </c>
      <c r="BL24" s="57"/>
      <c r="BM24" s="57">
        <v>-20</v>
      </c>
      <c r="BN24" s="57">
        <v>0</v>
      </c>
      <c r="BO24" s="14">
        <f>SUM(BK24:BN24)</f>
        <v>-24</v>
      </c>
      <c r="BQ24" s="13">
        <v>0</v>
      </c>
      <c r="BR24" s="57">
        <v>0</v>
      </c>
      <c r="BS24" s="57">
        <v>0</v>
      </c>
      <c r="BT24" s="57">
        <v>-1</v>
      </c>
      <c r="BU24" s="14">
        <f>SUM(BQ24:BT24)</f>
        <v>-1</v>
      </c>
      <c r="BW24" s="13">
        <v>-1</v>
      </c>
      <c r="BX24" s="57">
        <v>-1</v>
      </c>
      <c r="BY24" s="57">
        <v>0</v>
      </c>
      <c r="BZ24" s="57">
        <v>0</v>
      </c>
      <c r="CA24" s="14">
        <f>SUM(BW24:BZ24)</f>
        <v>-2</v>
      </c>
      <c r="CC24" s="13">
        <v>0</v>
      </c>
      <c r="CD24" s="57"/>
      <c r="CE24" s="57">
        <v>0</v>
      </c>
      <c r="CF24" s="57">
        <v>0</v>
      </c>
      <c r="CG24" s="14">
        <f>SUM(CC24:CF24)</f>
        <v>0</v>
      </c>
      <c r="CI24" s="13"/>
      <c r="CJ24" s="57"/>
      <c r="CK24" s="57">
        <v>-1</v>
      </c>
      <c r="CL24" s="57"/>
      <c r="CM24" s="14">
        <f>SUM(CI24:CL24)</f>
        <v>-1</v>
      </c>
    </row>
    <row r="25" spans="1:91" s="11" customFormat="1" ht="12.75" customHeight="1">
      <c r="A25" s="4" t="s">
        <v>37</v>
      </c>
      <c r="B25" s="9"/>
      <c r="C25" s="19">
        <v>-368</v>
      </c>
      <c r="D25" s="19">
        <v>250</v>
      </c>
      <c r="E25" s="19">
        <v>0</v>
      </c>
      <c r="F25" s="19">
        <v>-5</v>
      </c>
      <c r="G25" s="20">
        <f>SUM(C25:F25)</f>
        <v>-123</v>
      </c>
      <c r="H25" s="15"/>
      <c r="I25" s="19">
        <v>-24</v>
      </c>
      <c r="J25" s="19">
        <v>0</v>
      </c>
      <c r="K25" s="19">
        <v>0</v>
      </c>
      <c r="L25" s="19">
        <v>0</v>
      </c>
      <c r="M25" s="20">
        <f>SUM(I25:L25)</f>
        <v>-24</v>
      </c>
      <c r="N25" s="4"/>
      <c r="O25" s="19">
        <v>-20</v>
      </c>
      <c r="P25" s="19">
        <v>2</v>
      </c>
      <c r="Q25" s="19">
        <v>0</v>
      </c>
      <c r="R25" s="19">
        <v>0</v>
      </c>
      <c r="S25" s="20">
        <f>SUM(O25:R25)</f>
        <v>-18</v>
      </c>
      <c r="T25" s="4"/>
      <c r="U25" s="19">
        <v>0</v>
      </c>
      <c r="V25" s="19">
        <v>4</v>
      </c>
      <c r="W25" s="19">
        <v>0</v>
      </c>
      <c r="X25" s="19">
        <v>0</v>
      </c>
      <c r="Y25" s="20">
        <f>SUM(U25:X25)</f>
        <v>4</v>
      </c>
      <c r="Z25" s="4"/>
      <c r="AA25" s="19">
        <v>0</v>
      </c>
      <c r="AB25" s="19">
        <v>4</v>
      </c>
      <c r="AC25" s="19">
        <v>0</v>
      </c>
      <c r="AD25" s="19">
        <v>0</v>
      </c>
      <c r="AE25" s="20">
        <f>SUM(AA25:AD25)</f>
        <v>4</v>
      </c>
      <c r="AF25" s="4"/>
      <c r="AG25" s="19">
        <v>-12</v>
      </c>
      <c r="AH25" s="19">
        <v>0</v>
      </c>
      <c r="AI25" s="19">
        <v>-276</v>
      </c>
      <c r="AJ25" s="19">
        <v>-14</v>
      </c>
      <c r="AK25" s="20">
        <f>SUM(AG25:AJ25)</f>
        <v>-302</v>
      </c>
      <c r="AL25" s="4"/>
      <c r="AM25" s="19">
        <v>-64</v>
      </c>
      <c r="AN25" s="19">
        <v>14</v>
      </c>
      <c r="AO25" s="19">
        <v>0</v>
      </c>
      <c r="AP25" s="19">
        <v>0</v>
      </c>
      <c r="AQ25" s="20">
        <f>SUM(AM25:AP25)</f>
        <v>-50</v>
      </c>
      <c r="AR25" s="4"/>
      <c r="AS25" s="19">
        <v>7</v>
      </c>
      <c r="AT25" s="19">
        <v>9</v>
      </c>
      <c r="AU25" s="19">
        <v>-1</v>
      </c>
      <c r="AV25" s="19">
        <v>0</v>
      </c>
      <c r="AW25" s="20">
        <f>SUM(AS25:AV25)</f>
        <v>15</v>
      </c>
      <c r="AX25" s="4"/>
      <c r="AY25" s="19">
        <v>3</v>
      </c>
      <c r="AZ25" s="19">
        <v>10</v>
      </c>
      <c r="BA25" s="19">
        <v>0</v>
      </c>
      <c r="BB25" s="72">
        <v>0</v>
      </c>
      <c r="BC25" s="20">
        <f>SUM(AY25:BB25)</f>
        <v>13</v>
      </c>
      <c r="BD25" s="4"/>
      <c r="BE25" s="19">
        <v>0</v>
      </c>
      <c r="BF25" s="19">
        <v>0</v>
      </c>
      <c r="BG25" s="19">
        <v>0</v>
      </c>
      <c r="BH25" s="72">
        <v>0</v>
      </c>
      <c r="BI25" s="20">
        <f>SUM(BE25:BH25)</f>
        <v>0</v>
      </c>
      <c r="BK25" s="19">
        <v>1</v>
      </c>
      <c r="BL25" s="72">
        <v>3</v>
      </c>
      <c r="BM25" s="19"/>
      <c r="BN25" s="72">
        <v>0</v>
      </c>
      <c r="BO25" s="20">
        <f>SUM(BK25:BN25)</f>
        <v>4</v>
      </c>
      <c r="BQ25" s="19">
        <v>0</v>
      </c>
      <c r="BR25" s="72">
        <v>0</v>
      </c>
      <c r="BS25" s="19">
        <v>0</v>
      </c>
      <c r="BT25" s="72">
        <v>0</v>
      </c>
      <c r="BU25" s="20">
        <f>SUM(BQ25:BT25)</f>
        <v>0</v>
      </c>
      <c r="BW25" s="19">
        <v>22</v>
      </c>
      <c r="BX25" s="72">
        <v>0</v>
      </c>
      <c r="BY25" s="19">
        <v>0</v>
      </c>
      <c r="BZ25" s="72">
        <v>1</v>
      </c>
      <c r="CA25" s="20">
        <f>SUM(BW25:BZ25)</f>
        <v>23</v>
      </c>
      <c r="CC25" s="19">
        <v>7</v>
      </c>
      <c r="CD25" s="72">
        <v>0</v>
      </c>
      <c r="CE25" s="19">
        <v>0</v>
      </c>
      <c r="CF25" s="72">
        <v>0</v>
      </c>
      <c r="CG25" s="20">
        <f>SUM(CC25:CF25)</f>
        <v>7</v>
      </c>
      <c r="CI25" s="19">
        <v>1</v>
      </c>
      <c r="CJ25" s="72"/>
      <c r="CK25" s="19"/>
      <c r="CL25" s="72"/>
      <c r="CM25" s="20">
        <f>SUM(CI25:CL25)</f>
        <v>1</v>
      </c>
    </row>
    <row r="26" spans="1:91">
      <c r="A26" s="11" t="s">
        <v>38</v>
      </c>
      <c r="B26" s="6"/>
      <c r="C26" s="18">
        <f>SUM(C21:C25)</f>
        <v>-469</v>
      </c>
      <c r="D26" s="18">
        <f>SUM(D21:D25)</f>
        <v>-2450</v>
      </c>
      <c r="E26" s="18">
        <f>SUM(E21:E25)</f>
        <v>-11</v>
      </c>
      <c r="F26" s="18">
        <f>SUM(F21:F25)</f>
        <v>277</v>
      </c>
      <c r="G26" s="14">
        <f>SUM(G21:G25)</f>
        <v>-2653</v>
      </c>
      <c r="H26" s="15"/>
      <c r="I26" s="18">
        <f>SUM(I21:I25)</f>
        <v>-61</v>
      </c>
      <c r="J26" s="18">
        <f>SUM(J21:J25)</f>
        <v>-102</v>
      </c>
      <c r="K26" s="18">
        <f>SUM(K21:K25)</f>
        <v>146</v>
      </c>
      <c r="L26" s="18">
        <f>SUM(L21:L25)</f>
        <v>284</v>
      </c>
      <c r="M26" s="14">
        <f>SUM(M21:M25)</f>
        <v>267</v>
      </c>
      <c r="N26" s="11"/>
      <c r="O26" s="18">
        <f>SUM(O21:O25)</f>
        <v>-103</v>
      </c>
      <c r="P26" s="18">
        <f>SUM(P21:P25)</f>
        <v>-170</v>
      </c>
      <c r="Q26" s="18">
        <f>SUM(Q21:Q25)</f>
        <v>70</v>
      </c>
      <c r="R26" s="18">
        <f>SUM(R21:R25)</f>
        <v>170</v>
      </c>
      <c r="S26" s="14">
        <f>SUM(S21:S25)</f>
        <v>-33</v>
      </c>
      <c r="T26" s="11"/>
      <c r="U26" s="18">
        <f>SUM(U21:U25)</f>
        <v>-188</v>
      </c>
      <c r="V26" s="18">
        <f>SUM(V21:V25)</f>
        <v>-1141</v>
      </c>
      <c r="W26" s="18">
        <f>SUM(W21:W25)</f>
        <v>301</v>
      </c>
      <c r="X26" s="18">
        <f>SUM(X21:X25)</f>
        <v>278</v>
      </c>
      <c r="Y26" s="14">
        <f>SUM(Y21:Y25)</f>
        <v>-750</v>
      </c>
      <c r="Z26" s="11"/>
      <c r="AA26" s="18">
        <f>SUM(AA21:AA25)</f>
        <v>-240</v>
      </c>
      <c r="AB26" s="18">
        <f>SUM(AB21:AB25)</f>
        <v>-1117</v>
      </c>
      <c r="AC26" s="18">
        <f>SUM(AC21:AC25)</f>
        <v>320</v>
      </c>
      <c r="AD26" s="18">
        <f>SUM(AD21:AD25)</f>
        <v>291</v>
      </c>
      <c r="AE26" s="14">
        <f>SUM(AE21:AE25)</f>
        <v>-746</v>
      </c>
      <c r="AF26" s="11"/>
      <c r="AG26" s="18">
        <f>SUM(AG21:AG25)</f>
        <v>-176</v>
      </c>
      <c r="AH26" s="18">
        <f>SUM(AH21:AH25)</f>
        <v>-203</v>
      </c>
      <c r="AI26" s="18">
        <f>SUM(AI21:AI25)</f>
        <v>-291</v>
      </c>
      <c r="AJ26" s="18">
        <f>SUM(AJ21:AJ25)</f>
        <v>96</v>
      </c>
      <c r="AK26" s="14">
        <f>SUM(AK21:AK25)</f>
        <v>-574</v>
      </c>
      <c r="AL26" s="11"/>
      <c r="AM26" s="18">
        <f>SUM(AM21:AM25)</f>
        <v>-395</v>
      </c>
      <c r="AN26" s="18">
        <f>SUM(AN21:AN25)</f>
        <v>-46</v>
      </c>
      <c r="AO26" s="18">
        <f>SUM(AO21:AO25)</f>
        <v>56</v>
      </c>
      <c r="AP26" s="18">
        <f>SUM(AP21:AP25)</f>
        <v>111</v>
      </c>
      <c r="AQ26" s="14">
        <f>SUM(AQ21:AQ25)</f>
        <v>-274</v>
      </c>
      <c r="AR26" s="11"/>
      <c r="AS26" s="18">
        <f>SUM(AS21:AS25)</f>
        <v>-972</v>
      </c>
      <c r="AT26" s="18">
        <f>SUM(AT21:AT25)</f>
        <v>-326</v>
      </c>
      <c r="AU26" s="18">
        <f>SUM(AU21:AU25)</f>
        <v>16</v>
      </c>
      <c r="AV26" s="18">
        <f>SUM(AV21:AV25)</f>
        <v>328</v>
      </c>
      <c r="AW26" s="14">
        <f>SUM(AW21:AW25)</f>
        <v>-954</v>
      </c>
      <c r="AX26" s="11"/>
      <c r="AY26" s="18">
        <f>SUM(AY21:AY25)</f>
        <v>-182</v>
      </c>
      <c r="AZ26" s="18">
        <f>SUM(AZ21:AZ25)</f>
        <v>-557</v>
      </c>
      <c r="BA26" s="18">
        <f>SUM(BA21:BA25)</f>
        <v>-30</v>
      </c>
      <c r="BB26" s="74">
        <f>SUM(BB21:BB25)</f>
        <v>509</v>
      </c>
      <c r="BC26" s="14">
        <f>SUM(BC21:BC25)</f>
        <v>-260</v>
      </c>
      <c r="BD26" s="11"/>
      <c r="BE26" s="91">
        <f>SUM(BE21:BE25)</f>
        <v>-37.699999999999989</v>
      </c>
      <c r="BF26" s="91">
        <f>SUM(BF21:BF25)</f>
        <v>-275</v>
      </c>
      <c r="BG26" s="93">
        <f>SUM(BG21:BG25)</f>
        <v>-80</v>
      </c>
      <c r="BH26" s="93">
        <f>SUM(BH21:BH25)</f>
        <v>-53</v>
      </c>
      <c r="BI26" s="92">
        <f>SUM(BI21:BI25)</f>
        <v>-445.70000000000005</v>
      </c>
      <c r="BK26" s="91">
        <f>SUM(BK21:BK25)</f>
        <v>-628</v>
      </c>
      <c r="BL26" s="93">
        <f>SUM(BL21:BL25)</f>
        <v>-397</v>
      </c>
      <c r="BM26" s="93">
        <f>SUM(BM21:BM25)</f>
        <v>-333</v>
      </c>
      <c r="BN26" s="93">
        <f>SUM(BN21:BN25)</f>
        <v>32</v>
      </c>
      <c r="BO26" s="92">
        <f>SUM(BO21:BO25)</f>
        <v>-1326</v>
      </c>
      <c r="BQ26" s="91">
        <f>SUM(BQ21:BQ25)</f>
        <v>-732</v>
      </c>
      <c r="BR26" s="93">
        <f>SUM(BR21:BR25)</f>
        <v>-116</v>
      </c>
      <c r="BS26" s="93">
        <f>SUM(BS21:BS25)</f>
        <v>204</v>
      </c>
      <c r="BT26" s="93">
        <f>SUM(BT21:BT25)</f>
        <v>347</v>
      </c>
      <c r="BU26" s="92">
        <f>SUM(BU21:BU25)</f>
        <v>-297</v>
      </c>
      <c r="BW26" s="91">
        <f>SUM(BW21:BW25)</f>
        <v>-86</v>
      </c>
      <c r="BX26" s="93">
        <f>SUM(BX21:BX25)</f>
        <v>-102</v>
      </c>
      <c r="BY26" s="93">
        <f>SUM(BY21:BY25)</f>
        <v>-87</v>
      </c>
      <c r="BZ26" s="93">
        <f>SUM(BZ21:BZ25)</f>
        <v>838</v>
      </c>
      <c r="CA26" s="92">
        <f>SUM(CA21:CA25)</f>
        <v>563</v>
      </c>
      <c r="CC26" s="91">
        <f>SUM(CC21:CC25)</f>
        <v>-818</v>
      </c>
      <c r="CD26" s="91">
        <f>SUM(CD21:CD25)</f>
        <v>-122</v>
      </c>
      <c r="CE26" s="91">
        <f>SUM(CE21:CE25)</f>
        <v>30</v>
      </c>
      <c r="CF26" s="91">
        <f>SUM(CF21:CF25)</f>
        <v>577</v>
      </c>
      <c r="CG26" s="92">
        <f>SUM(CG21:CG25)</f>
        <v>-333</v>
      </c>
      <c r="CI26" s="91">
        <f>SUM(CI21:CI25)</f>
        <v>104</v>
      </c>
      <c r="CJ26" s="91">
        <f>SUM(CJ21:CJ25)</f>
        <v>-1</v>
      </c>
      <c r="CK26" s="91">
        <f>SUM(CK21:CK25)</f>
        <v>4</v>
      </c>
      <c r="CL26" s="91">
        <f>SUM(CL21:CL25)</f>
        <v>1016</v>
      </c>
      <c r="CM26" s="92">
        <f>SUM(CM21:CM25)</f>
        <v>1123</v>
      </c>
    </row>
    <row r="27" spans="1:91">
      <c r="C27" s="13"/>
      <c r="D27" s="13"/>
      <c r="E27" s="13"/>
      <c r="F27" s="13"/>
      <c r="G27" s="14"/>
      <c r="H27" s="15"/>
      <c r="I27" s="13"/>
      <c r="J27" s="13"/>
      <c r="K27" s="13"/>
      <c r="L27" s="13"/>
      <c r="M27" s="14"/>
      <c r="O27" s="13"/>
      <c r="P27" s="13"/>
      <c r="Q27" s="13"/>
      <c r="R27" s="13"/>
      <c r="S27" s="14"/>
      <c r="U27" s="13"/>
      <c r="V27" s="13"/>
      <c r="W27" s="13"/>
      <c r="X27" s="13"/>
      <c r="Y27" s="14"/>
      <c r="AA27" s="13"/>
      <c r="AB27" s="13"/>
      <c r="AC27" s="13"/>
      <c r="AD27" s="13"/>
      <c r="AE27" s="14"/>
      <c r="AG27" s="13"/>
      <c r="AH27" s="13"/>
      <c r="AI27" s="13"/>
      <c r="AJ27" s="13"/>
      <c r="AK27" s="14"/>
      <c r="AM27" s="13"/>
      <c r="AN27" s="13"/>
      <c r="AO27" s="13"/>
      <c r="AP27" s="13"/>
      <c r="AQ27" s="14"/>
      <c r="AS27" s="13"/>
      <c r="AT27" s="13"/>
      <c r="AU27" s="13"/>
      <c r="AV27" s="13"/>
      <c r="AW27" s="14"/>
      <c r="AY27" s="13"/>
      <c r="AZ27" s="13"/>
      <c r="BA27" s="13"/>
      <c r="BB27" s="57"/>
      <c r="BC27" s="14"/>
      <c r="BE27" s="13"/>
      <c r="BF27" s="13"/>
      <c r="BG27" s="57"/>
      <c r="BH27" s="57"/>
      <c r="BI27" s="14"/>
      <c r="BK27" s="13"/>
      <c r="BL27" s="57"/>
      <c r="BM27" s="57"/>
      <c r="BN27" s="57"/>
      <c r="BO27" s="14"/>
      <c r="BQ27" s="13"/>
      <c r="BR27" s="57"/>
      <c r="BS27" s="57"/>
      <c r="BT27" s="57"/>
      <c r="BU27" s="14"/>
      <c r="BW27" s="13"/>
      <c r="BX27" s="57"/>
      <c r="BY27" s="57"/>
      <c r="BZ27" s="57"/>
      <c r="CA27" s="14"/>
      <c r="CC27" s="13"/>
      <c r="CD27" s="57"/>
      <c r="CE27" s="57"/>
      <c r="CF27" s="57"/>
      <c r="CG27" s="14"/>
      <c r="CI27" s="13"/>
      <c r="CJ27" s="57"/>
      <c r="CK27" s="57"/>
      <c r="CL27" s="57"/>
      <c r="CM27" s="14"/>
    </row>
    <row r="28" spans="1:91">
      <c r="A28" s="4" t="s">
        <v>183</v>
      </c>
      <c r="C28" s="13"/>
      <c r="D28" s="13"/>
      <c r="E28" s="13"/>
      <c r="F28" s="13"/>
      <c r="G28" s="14"/>
      <c r="H28" s="15"/>
      <c r="I28" s="13"/>
      <c r="J28" s="13"/>
      <c r="K28" s="13"/>
      <c r="L28" s="13"/>
      <c r="M28" s="14"/>
      <c r="O28" s="13"/>
      <c r="P28" s="13"/>
      <c r="Q28" s="13"/>
      <c r="R28" s="13"/>
      <c r="S28" s="14"/>
      <c r="U28" s="13"/>
      <c r="V28" s="13"/>
      <c r="W28" s="13"/>
      <c r="X28" s="13"/>
      <c r="Y28" s="14"/>
      <c r="AA28" s="13"/>
      <c r="AB28" s="13"/>
      <c r="AC28" s="13"/>
      <c r="AD28" s="13"/>
      <c r="AE28" s="14"/>
      <c r="AG28" s="13"/>
      <c r="AH28" s="13"/>
      <c r="AI28" s="13"/>
      <c r="AJ28" s="13"/>
      <c r="AK28" s="14"/>
      <c r="AM28" s="13"/>
      <c r="AN28" s="13"/>
      <c r="AO28" s="13"/>
      <c r="AP28" s="13"/>
      <c r="AQ28" s="14"/>
      <c r="AS28" s="13"/>
      <c r="AT28" s="13"/>
      <c r="AU28" s="13"/>
      <c r="AV28" s="13"/>
      <c r="AW28" s="14"/>
      <c r="AY28" s="13"/>
      <c r="AZ28" s="13"/>
      <c r="BA28" s="13"/>
      <c r="BB28" s="57"/>
      <c r="BC28" s="14"/>
      <c r="BE28" s="13"/>
      <c r="BF28" s="13"/>
      <c r="BG28" s="57"/>
      <c r="BH28" s="57"/>
      <c r="BI28" s="14"/>
      <c r="BK28" s="13"/>
      <c r="BL28" s="57"/>
      <c r="BM28" s="57"/>
      <c r="BN28" s="57"/>
      <c r="BO28" s="14"/>
      <c r="BQ28" s="13"/>
      <c r="BR28" s="57"/>
      <c r="BS28" s="57"/>
      <c r="BT28" s="57"/>
      <c r="BU28" s="14"/>
      <c r="BW28" s="13">
        <v>0</v>
      </c>
      <c r="BX28" s="57">
        <v>1975</v>
      </c>
      <c r="BY28" s="57">
        <v>0</v>
      </c>
      <c r="BZ28" s="57">
        <v>5</v>
      </c>
      <c r="CA28" s="14">
        <f>SUM(BW28:BZ28)</f>
        <v>1980</v>
      </c>
      <c r="CC28" s="13"/>
      <c r="CD28" s="57"/>
      <c r="CE28" s="57"/>
      <c r="CF28" s="57"/>
      <c r="CG28" s="14">
        <f>SUM(CC28:CF28)</f>
        <v>0</v>
      </c>
      <c r="CI28" s="13"/>
      <c r="CJ28" s="57"/>
      <c r="CK28" s="57"/>
      <c r="CL28" s="57"/>
      <c r="CM28" s="14">
        <f>SUM(CI28:CL28)</f>
        <v>0</v>
      </c>
    </row>
    <row r="29" spans="1:91">
      <c r="C29" s="13" t="s">
        <v>78</v>
      </c>
      <c r="D29" s="13"/>
      <c r="E29" s="13"/>
      <c r="F29" s="13"/>
      <c r="G29" s="14"/>
      <c r="H29" s="15"/>
      <c r="I29" s="13"/>
      <c r="J29" s="13"/>
      <c r="K29" s="13"/>
      <c r="L29" s="13"/>
      <c r="M29" s="14"/>
      <c r="O29" s="13"/>
      <c r="P29" s="13"/>
      <c r="Q29" s="13"/>
      <c r="R29" s="13"/>
      <c r="S29" s="14"/>
      <c r="U29" s="13"/>
      <c r="V29" s="13"/>
      <c r="W29" s="13"/>
      <c r="X29" s="13"/>
      <c r="Y29" s="14"/>
      <c r="AA29" s="13"/>
      <c r="AB29" s="13"/>
      <c r="AC29" s="13"/>
      <c r="AD29" s="13"/>
      <c r="AE29" s="14"/>
      <c r="AG29" s="13"/>
      <c r="AH29" s="13"/>
      <c r="AI29" s="13"/>
      <c r="AJ29" s="13"/>
      <c r="AK29" s="14"/>
      <c r="AM29" s="13"/>
      <c r="AN29" s="13"/>
      <c r="AO29" s="13"/>
      <c r="AP29" s="13"/>
      <c r="AQ29" s="14"/>
      <c r="AS29" s="13"/>
      <c r="AT29" s="13"/>
      <c r="AU29" s="13"/>
      <c r="AV29" s="13"/>
      <c r="AW29" s="14"/>
      <c r="AY29" s="13"/>
      <c r="AZ29" s="13"/>
      <c r="BA29" s="13"/>
      <c r="BB29" s="57"/>
      <c r="BC29" s="14"/>
      <c r="BE29" s="13"/>
      <c r="BF29" s="13"/>
      <c r="BG29" s="57"/>
      <c r="BH29" s="57"/>
      <c r="BI29" s="14"/>
      <c r="BK29" s="13"/>
      <c r="BL29" s="57"/>
      <c r="BM29" s="57"/>
      <c r="BN29" s="57"/>
      <c r="BO29" s="14"/>
      <c r="BQ29" s="13"/>
      <c r="BR29" s="57"/>
      <c r="BS29" s="57"/>
      <c r="BT29" s="57"/>
      <c r="BU29" s="14"/>
      <c r="BW29" s="13"/>
      <c r="BX29" s="57"/>
      <c r="BY29" s="57"/>
      <c r="BZ29" s="57"/>
      <c r="CA29" s="14"/>
      <c r="CC29" s="13"/>
      <c r="CD29" s="57"/>
      <c r="CE29" s="57"/>
      <c r="CF29" s="57"/>
      <c r="CG29" s="14"/>
      <c r="CI29" s="13"/>
      <c r="CJ29" s="57"/>
      <c r="CK29" s="57"/>
      <c r="CL29" s="57"/>
      <c r="CM29" s="14"/>
    </row>
    <row r="30" spans="1:91">
      <c r="A30" s="4" t="s">
        <v>182</v>
      </c>
      <c r="C30" s="13">
        <v>2758</v>
      </c>
      <c r="D30" s="13">
        <f>C33</f>
        <v>2277</v>
      </c>
      <c r="E30" s="13">
        <f>D33</f>
        <v>-221</v>
      </c>
      <c r="F30" s="13">
        <f>E33</f>
        <v>-162</v>
      </c>
      <c r="G30" s="14">
        <f>C30</f>
        <v>2758</v>
      </c>
      <c r="H30" s="15"/>
      <c r="I30" s="13">
        <f>F33</f>
        <v>71</v>
      </c>
      <c r="J30" s="13">
        <f>I33</f>
        <v>7</v>
      </c>
      <c r="K30" s="13">
        <f>J33</f>
        <v>-30</v>
      </c>
      <c r="L30" s="13">
        <f>K33</f>
        <v>109</v>
      </c>
      <c r="M30" s="14">
        <f>I30</f>
        <v>71</v>
      </c>
      <c r="O30" s="13">
        <f>L33</f>
        <v>407</v>
      </c>
      <c r="P30" s="13">
        <f>O33</f>
        <v>321</v>
      </c>
      <c r="Q30" s="13">
        <f>P33</f>
        <v>157</v>
      </c>
      <c r="R30" s="13">
        <f>Q33</f>
        <v>236</v>
      </c>
      <c r="S30" s="14">
        <f>O30</f>
        <v>407</v>
      </c>
      <c r="U30" s="13">
        <v>409</v>
      </c>
      <c r="V30" s="13">
        <f>U33</f>
        <v>217</v>
      </c>
      <c r="W30" s="13">
        <f>V33</f>
        <v>-932</v>
      </c>
      <c r="X30" s="13">
        <f>W33</f>
        <v>-638</v>
      </c>
      <c r="Y30" s="14">
        <f>U30</f>
        <v>409</v>
      </c>
      <c r="AA30" s="13">
        <f>S33</f>
        <v>409</v>
      </c>
      <c r="AB30" s="13">
        <f>AA33</f>
        <v>347</v>
      </c>
      <c r="AC30" s="13">
        <f>AB33</f>
        <v>-778</v>
      </c>
      <c r="AD30" s="13">
        <f>AC33</f>
        <v>-465</v>
      </c>
      <c r="AE30" s="14">
        <f>AA30</f>
        <v>409</v>
      </c>
      <c r="AG30" s="13">
        <f>AD33</f>
        <v>-145</v>
      </c>
      <c r="AH30" s="13">
        <f>AG33</f>
        <v>-337</v>
      </c>
      <c r="AI30" s="13">
        <f>AH33</f>
        <v>-559</v>
      </c>
      <c r="AJ30" s="13">
        <f>AI33</f>
        <v>-858</v>
      </c>
      <c r="AK30" s="14">
        <f>AG30</f>
        <v>-145</v>
      </c>
      <c r="AM30" s="13">
        <f>AJ33</f>
        <v>-764</v>
      </c>
      <c r="AN30" s="13">
        <f>AM33</f>
        <v>-1176</v>
      </c>
      <c r="AO30" s="13">
        <f>AN33</f>
        <v>-1221</v>
      </c>
      <c r="AP30" s="13">
        <f>AO33</f>
        <v>-1168</v>
      </c>
      <c r="AQ30" s="14">
        <f>AM30</f>
        <v>-764</v>
      </c>
      <c r="AS30" s="13">
        <f>AP33</f>
        <v>-1023</v>
      </c>
      <c r="AT30" s="13">
        <f>+AS33</f>
        <v>-1987</v>
      </c>
      <c r="AU30" s="13">
        <f>+AT33</f>
        <v>-2319</v>
      </c>
      <c r="AV30" s="13">
        <f>+AU33</f>
        <v>-2306</v>
      </c>
      <c r="AW30" s="14">
        <f>AS30</f>
        <v>-1023</v>
      </c>
      <c r="AY30" s="13">
        <f>+AW33</f>
        <v>-1995</v>
      </c>
      <c r="AZ30" s="13">
        <f>+AY33</f>
        <v>-2215</v>
      </c>
      <c r="BA30" s="13">
        <f>+AZ33</f>
        <v>-2825</v>
      </c>
      <c r="BB30" s="57">
        <f>+BA33</f>
        <v>-2821</v>
      </c>
      <c r="BC30" s="14">
        <f>AY30</f>
        <v>-1995</v>
      </c>
      <c r="BE30" s="13">
        <f>+BC33</f>
        <v>-2260</v>
      </c>
      <c r="BF30" s="13">
        <f>+BE33</f>
        <v>-2282.6999999999998</v>
      </c>
      <c r="BG30" s="57">
        <f>BF33</f>
        <v>-2586.6999999999998</v>
      </c>
      <c r="BH30" s="57">
        <f>BG33</f>
        <v>-2680.7</v>
      </c>
      <c r="BI30" s="14">
        <f>BE30</f>
        <v>-2260</v>
      </c>
      <c r="BK30" s="13">
        <f>+BI33</f>
        <v>-2724.7</v>
      </c>
      <c r="BL30" s="57">
        <f>+BK33</f>
        <v>-3393.7</v>
      </c>
      <c r="BM30" s="57">
        <f>+BL33</f>
        <v>-3789.7</v>
      </c>
      <c r="BN30" s="57">
        <f>+BM33</f>
        <v>-4143.7</v>
      </c>
      <c r="BO30" s="14">
        <f>BK30</f>
        <v>-2724.7</v>
      </c>
      <c r="BQ30" s="13">
        <f>+BN33</f>
        <v>-4104.7</v>
      </c>
      <c r="BR30" s="57">
        <f>+BQ33</f>
        <v>-4820.7</v>
      </c>
      <c r="BS30" s="57">
        <f>+BR33</f>
        <v>-4939.7</v>
      </c>
      <c r="BT30" s="57">
        <f>+BS33</f>
        <v>-4770.7</v>
      </c>
      <c r="BU30" s="14">
        <f>BQ30</f>
        <v>-4104.7</v>
      </c>
      <c r="BW30" s="13">
        <f>+BT33</f>
        <v>-4428.7</v>
      </c>
      <c r="BX30" s="57">
        <f>+BW33</f>
        <v>-4490.7</v>
      </c>
      <c r="BY30" s="57">
        <f>+BX33</f>
        <v>-2691.7</v>
      </c>
      <c r="BZ30" s="57">
        <f>+BY33</f>
        <v>-2750.7</v>
      </c>
      <c r="CA30" s="14">
        <f>BW30</f>
        <v>-4428.7</v>
      </c>
      <c r="CC30" s="13">
        <f>+BZ33</f>
        <v>-1908.6999999999998</v>
      </c>
      <c r="CD30" s="57">
        <f>+CC33</f>
        <v>-2775.7</v>
      </c>
      <c r="CE30" s="57">
        <f>+CD33</f>
        <v>-2838.7</v>
      </c>
      <c r="CF30" s="57">
        <f>+CE33</f>
        <v>-2752.7</v>
      </c>
      <c r="CG30" s="14">
        <f>CC30</f>
        <v>-1908.6999999999998</v>
      </c>
      <c r="CI30" s="13">
        <f>+CF33</f>
        <v>-2110.6999999999998</v>
      </c>
      <c r="CJ30" s="57">
        <f>+CI33</f>
        <v>-1998.6999999999998</v>
      </c>
      <c r="CK30" s="57">
        <f>+CJ33</f>
        <v>-2007.6999999999998</v>
      </c>
      <c r="CL30" s="57">
        <f>+CK33</f>
        <v>-2118.6999999999998</v>
      </c>
      <c r="CM30" s="14">
        <f>CI30</f>
        <v>-2110.6999999999998</v>
      </c>
    </row>
    <row r="31" spans="1:91">
      <c r="A31" s="4" t="s">
        <v>66</v>
      </c>
      <c r="C31" s="13"/>
      <c r="D31" s="13"/>
      <c r="E31" s="13"/>
      <c r="F31" s="13"/>
      <c r="G31" s="14"/>
      <c r="H31" s="15"/>
      <c r="I31" s="13"/>
      <c r="J31" s="13"/>
      <c r="K31" s="13"/>
      <c r="L31" s="13"/>
      <c r="M31" s="14"/>
      <c r="O31" s="13"/>
      <c r="P31" s="13"/>
      <c r="Q31" s="13"/>
      <c r="R31" s="13"/>
      <c r="S31" s="14"/>
      <c r="U31" s="13"/>
      <c r="V31" s="13"/>
      <c r="W31" s="13"/>
      <c r="X31" s="13"/>
      <c r="Y31" s="14"/>
      <c r="AA31" s="13">
        <v>182</v>
      </c>
      <c r="AB31" s="13"/>
      <c r="AC31" s="13"/>
      <c r="AD31" s="13"/>
      <c r="AE31" s="14">
        <f>SUM(AA31:AD31)</f>
        <v>182</v>
      </c>
      <c r="AG31" s="13"/>
      <c r="AH31" s="13"/>
      <c r="AI31" s="13"/>
      <c r="AJ31" s="13"/>
      <c r="AK31" s="14"/>
      <c r="AM31" s="13"/>
      <c r="AN31" s="13"/>
      <c r="AO31" s="13"/>
      <c r="AP31" s="13"/>
      <c r="AQ31" s="14"/>
      <c r="AS31" s="13"/>
      <c r="AT31" s="13"/>
      <c r="AU31" s="13"/>
      <c r="AV31" s="13"/>
      <c r="AW31" s="14"/>
      <c r="AY31" s="13"/>
      <c r="AZ31" s="13"/>
      <c r="BA31" s="13"/>
      <c r="BB31" s="57"/>
      <c r="BC31" s="14"/>
      <c r="BE31" s="13"/>
      <c r="BF31" s="13"/>
      <c r="BG31" s="57"/>
      <c r="BH31" s="57"/>
      <c r="BI31" s="14"/>
      <c r="BK31" s="13"/>
      <c r="BL31" s="57"/>
      <c r="BM31" s="57"/>
      <c r="BN31" s="57"/>
      <c r="BO31" s="14"/>
      <c r="BQ31" s="13"/>
      <c r="BR31" s="57"/>
      <c r="BS31" s="57"/>
      <c r="BT31" s="57"/>
      <c r="BU31" s="14"/>
      <c r="BW31" s="13"/>
      <c r="BX31" s="57"/>
      <c r="BY31" s="57"/>
      <c r="BZ31" s="57"/>
      <c r="CA31" s="14"/>
      <c r="CC31" s="13"/>
      <c r="CD31" s="57"/>
      <c r="CE31" s="57"/>
      <c r="CF31" s="57"/>
      <c r="CG31" s="14"/>
      <c r="CI31" s="13"/>
      <c r="CJ31" s="57"/>
      <c r="CK31" s="57"/>
      <c r="CL31" s="57"/>
      <c r="CM31" s="14"/>
    </row>
    <row r="32" spans="1:91" s="11" customFormat="1" ht="18.75" customHeight="1">
      <c r="A32" s="4" t="s">
        <v>67</v>
      </c>
      <c r="B32" s="9"/>
      <c r="C32" s="13">
        <v>-12</v>
      </c>
      <c r="D32" s="13">
        <v>-48</v>
      </c>
      <c r="E32" s="13">
        <v>70</v>
      </c>
      <c r="F32" s="13">
        <v>-44</v>
      </c>
      <c r="G32" s="14">
        <f>SUM(C32:F32)</f>
        <v>-34</v>
      </c>
      <c r="H32" s="15"/>
      <c r="I32" s="13">
        <v>-3</v>
      </c>
      <c r="J32" s="13">
        <v>65</v>
      </c>
      <c r="K32" s="13">
        <v>-7</v>
      </c>
      <c r="L32" s="13">
        <v>14</v>
      </c>
      <c r="M32" s="14">
        <f>SUM(I32:L32)</f>
        <v>69</v>
      </c>
      <c r="N32" s="4"/>
      <c r="O32" s="13">
        <v>17</v>
      </c>
      <c r="P32" s="13">
        <v>6</v>
      </c>
      <c r="Q32" s="13">
        <v>9</v>
      </c>
      <c r="R32" s="13">
        <v>3</v>
      </c>
      <c r="S32" s="14">
        <f>SUM(O32:R32)</f>
        <v>35</v>
      </c>
      <c r="T32" s="4"/>
      <c r="U32" s="13">
        <v>-4</v>
      </c>
      <c r="V32" s="13">
        <v>-8</v>
      </c>
      <c r="W32" s="13">
        <v>-7</v>
      </c>
      <c r="X32" s="13">
        <v>27</v>
      </c>
      <c r="Y32" s="14">
        <f>SUM(U32:X32)</f>
        <v>8</v>
      </c>
      <c r="Z32" s="4"/>
      <c r="AA32" s="13">
        <v>-4</v>
      </c>
      <c r="AB32" s="13">
        <v>-8</v>
      </c>
      <c r="AC32" s="13">
        <v>-7</v>
      </c>
      <c r="AD32" s="13">
        <v>29</v>
      </c>
      <c r="AE32" s="14">
        <f>SUM(AA32:AD32)</f>
        <v>10</v>
      </c>
      <c r="AF32" s="4"/>
      <c r="AG32" s="13">
        <v>-16</v>
      </c>
      <c r="AH32" s="13">
        <v>-19</v>
      </c>
      <c r="AI32" s="13">
        <v>-8</v>
      </c>
      <c r="AJ32" s="13">
        <v>-2</v>
      </c>
      <c r="AK32" s="14">
        <f>SUM(AG32:AJ32)</f>
        <v>-45</v>
      </c>
      <c r="AL32" s="4"/>
      <c r="AM32" s="13">
        <v>-17</v>
      </c>
      <c r="AN32" s="13">
        <v>1</v>
      </c>
      <c r="AO32" s="13">
        <v>-3</v>
      </c>
      <c r="AP32" s="13">
        <v>34</v>
      </c>
      <c r="AQ32" s="14">
        <f>SUM(AM32:AP32)</f>
        <v>15</v>
      </c>
      <c r="AR32" s="4"/>
      <c r="AS32" s="13">
        <v>8</v>
      </c>
      <c r="AT32" s="13">
        <v>-6</v>
      </c>
      <c r="AU32" s="13">
        <v>-3</v>
      </c>
      <c r="AV32" s="13">
        <v>-17</v>
      </c>
      <c r="AW32" s="14">
        <f>SUM(AS32:AV32)</f>
        <v>-18</v>
      </c>
      <c r="AX32" s="4"/>
      <c r="AY32" s="13">
        <v>-38</v>
      </c>
      <c r="AZ32" s="13">
        <v>-53</v>
      </c>
      <c r="BA32" s="13">
        <v>34</v>
      </c>
      <c r="BB32" s="57">
        <v>52</v>
      </c>
      <c r="BC32" s="14">
        <f>SUM(AY32:BB32)</f>
        <v>-5</v>
      </c>
      <c r="BD32" s="4"/>
      <c r="BE32" s="13">
        <v>15</v>
      </c>
      <c r="BF32" s="82">
        <v>-29</v>
      </c>
      <c r="BG32" s="57">
        <v>-14</v>
      </c>
      <c r="BH32" s="57">
        <v>9</v>
      </c>
      <c r="BI32" s="14">
        <f>SUM(BE32:BH32)</f>
        <v>-19</v>
      </c>
      <c r="BK32" s="13">
        <v>-41</v>
      </c>
      <c r="BL32" s="57">
        <v>1</v>
      </c>
      <c r="BM32" s="57">
        <v>-21</v>
      </c>
      <c r="BN32" s="57">
        <v>7</v>
      </c>
      <c r="BO32" s="14">
        <f>SUM(BK32:BN32)</f>
        <v>-54</v>
      </c>
      <c r="BQ32" s="13">
        <v>16</v>
      </c>
      <c r="BR32" s="57">
        <v>-3</v>
      </c>
      <c r="BS32" s="57">
        <v>-35</v>
      </c>
      <c r="BT32" s="57">
        <v>-5</v>
      </c>
      <c r="BU32" s="14">
        <f>SUM(BQ32:BT32)</f>
        <v>-27</v>
      </c>
      <c r="BW32" s="13">
        <v>24</v>
      </c>
      <c r="BX32" s="57">
        <v>-74</v>
      </c>
      <c r="BY32" s="57">
        <v>28</v>
      </c>
      <c r="BZ32" s="57">
        <v>-1</v>
      </c>
      <c r="CA32" s="14">
        <f>SUM(BW32:BZ32)</f>
        <v>-23</v>
      </c>
      <c r="CC32" s="13">
        <v>-49</v>
      </c>
      <c r="CD32" s="57">
        <v>59</v>
      </c>
      <c r="CE32" s="57">
        <v>56</v>
      </c>
      <c r="CF32" s="57">
        <v>65</v>
      </c>
      <c r="CG32" s="14">
        <f>SUM(CC32:CF32)</f>
        <v>131</v>
      </c>
      <c r="CI32" s="13">
        <v>8</v>
      </c>
      <c r="CJ32" s="57">
        <v>-8</v>
      </c>
      <c r="CK32" s="57">
        <v>-115</v>
      </c>
      <c r="CL32" s="57">
        <v>-32</v>
      </c>
      <c r="CM32" s="14">
        <f>SUM(CI32:CL32)</f>
        <v>-147</v>
      </c>
    </row>
    <row r="33" spans="1:91">
      <c r="A33" s="11" t="s">
        <v>39</v>
      </c>
      <c r="B33" s="6"/>
      <c r="C33" s="16">
        <f>SUM(C26:C32)</f>
        <v>2277</v>
      </c>
      <c r="D33" s="16">
        <f>SUM(D26:D32)</f>
        <v>-221</v>
      </c>
      <c r="E33" s="16">
        <f>SUM(E26:E32)</f>
        <v>-162</v>
      </c>
      <c r="F33" s="16">
        <f>SUM(F26:F32)</f>
        <v>71</v>
      </c>
      <c r="G33" s="17">
        <f>SUM(G26:G32)</f>
        <v>71</v>
      </c>
      <c r="H33" s="15"/>
      <c r="I33" s="16">
        <f>SUM(I26:I32)</f>
        <v>7</v>
      </c>
      <c r="J33" s="16">
        <f>SUM(J26:J32)</f>
        <v>-30</v>
      </c>
      <c r="K33" s="16">
        <f>SUM(K26:K32)</f>
        <v>109</v>
      </c>
      <c r="L33" s="16">
        <f>SUM(L26:L32)</f>
        <v>407</v>
      </c>
      <c r="M33" s="17">
        <f>SUM(M26:M32)</f>
        <v>407</v>
      </c>
      <c r="N33" s="11"/>
      <c r="O33" s="16">
        <f>SUM(O26:O32)</f>
        <v>321</v>
      </c>
      <c r="P33" s="16">
        <f>SUM(P26:P32)</f>
        <v>157</v>
      </c>
      <c r="Q33" s="16">
        <f>SUM(Q26:Q32)</f>
        <v>236</v>
      </c>
      <c r="R33" s="16">
        <f>SUM(R26:R32)</f>
        <v>409</v>
      </c>
      <c r="S33" s="17">
        <f>SUM(S26:S32)</f>
        <v>409</v>
      </c>
      <c r="T33" s="11"/>
      <c r="U33" s="16">
        <f>SUM(U26:U32)</f>
        <v>217</v>
      </c>
      <c r="V33" s="16">
        <f>SUM(V26:V32)</f>
        <v>-932</v>
      </c>
      <c r="W33" s="16">
        <f>SUM(W26:W32)</f>
        <v>-638</v>
      </c>
      <c r="X33" s="16">
        <f>SUM(X26:X32)</f>
        <v>-333</v>
      </c>
      <c r="Y33" s="17">
        <f>SUM(Y26:Y32)</f>
        <v>-333</v>
      </c>
      <c r="Z33" s="11"/>
      <c r="AA33" s="16">
        <f>SUM(AA26:AA32)</f>
        <v>347</v>
      </c>
      <c r="AB33" s="16">
        <f>SUM(AB26:AB32)</f>
        <v>-778</v>
      </c>
      <c r="AC33" s="16">
        <f>SUM(AC26:AC32)</f>
        <v>-465</v>
      </c>
      <c r="AD33" s="16">
        <f>SUM(AD26:AD32)</f>
        <v>-145</v>
      </c>
      <c r="AE33" s="17">
        <f>SUM(AE26:AE32)</f>
        <v>-145</v>
      </c>
      <c r="AF33" s="11"/>
      <c r="AG33" s="16">
        <f>SUM(AG26:AG32)</f>
        <v>-337</v>
      </c>
      <c r="AH33" s="16">
        <f>SUM(AH26:AH32)</f>
        <v>-559</v>
      </c>
      <c r="AI33" s="16">
        <f>SUM(AI26:AI32)</f>
        <v>-858</v>
      </c>
      <c r="AJ33" s="16">
        <f>SUM(AJ26:AJ32)</f>
        <v>-764</v>
      </c>
      <c r="AK33" s="17">
        <f>SUM(AK26:AK32)</f>
        <v>-764</v>
      </c>
      <c r="AL33" s="11"/>
      <c r="AM33" s="16">
        <f>SUM(AM26:AM32)</f>
        <v>-1176</v>
      </c>
      <c r="AN33" s="16">
        <f>SUM(AN26:AN32)</f>
        <v>-1221</v>
      </c>
      <c r="AO33" s="16">
        <f>SUM(AO26:AO32)</f>
        <v>-1168</v>
      </c>
      <c r="AP33" s="16">
        <f>SUM(AP26:AP32)</f>
        <v>-1023</v>
      </c>
      <c r="AQ33" s="17">
        <f>SUM(AQ26:AQ32)</f>
        <v>-1023</v>
      </c>
      <c r="AR33" s="11"/>
      <c r="AS33" s="16">
        <f>SUM(AS26:AS32)</f>
        <v>-1987</v>
      </c>
      <c r="AT33" s="16">
        <f>SUM(AT26:AT32)</f>
        <v>-2319</v>
      </c>
      <c r="AU33" s="16">
        <f>SUM(AU26:AU32)</f>
        <v>-2306</v>
      </c>
      <c r="AV33" s="16">
        <f>SUM(AV26:AV32)</f>
        <v>-1995</v>
      </c>
      <c r="AW33" s="17">
        <f>SUM(AW26:AW32)</f>
        <v>-1995</v>
      </c>
      <c r="AX33" s="11"/>
      <c r="AY33" s="16">
        <f>SUM(AY26:AY32)</f>
        <v>-2215</v>
      </c>
      <c r="AZ33" s="16">
        <f>SUM(AZ26:AZ32)</f>
        <v>-2825</v>
      </c>
      <c r="BA33" s="16">
        <f>SUM(BA26:BA32)</f>
        <v>-2821</v>
      </c>
      <c r="BB33" s="16">
        <f>SUM(BB26:BB32)</f>
        <v>-2260</v>
      </c>
      <c r="BC33" s="17">
        <f>SUM(BC26:BC32)</f>
        <v>-2260</v>
      </c>
      <c r="BD33" s="11"/>
      <c r="BE33" s="16">
        <f>SUM(BE26:BE32)</f>
        <v>-2282.6999999999998</v>
      </c>
      <c r="BF33" s="16">
        <f>SUM(BF26:BF32)</f>
        <v>-2586.6999999999998</v>
      </c>
      <c r="BG33" s="16">
        <f>SUM(BG26:BG32)</f>
        <v>-2680.7</v>
      </c>
      <c r="BH33" s="16">
        <f>SUM(BH26:BH32)</f>
        <v>-2724.7</v>
      </c>
      <c r="BI33" s="17">
        <f>SUM(BI26:BI32)</f>
        <v>-2724.7</v>
      </c>
      <c r="BK33" s="16">
        <f>SUM(BK26:BK32)</f>
        <v>-3393.7</v>
      </c>
      <c r="BL33" s="60">
        <f>SUM(BL26:BL32)</f>
        <v>-3789.7</v>
      </c>
      <c r="BM33" s="16">
        <f>SUM(BM26:BM32)</f>
        <v>-4143.7</v>
      </c>
      <c r="BN33" s="16">
        <f>SUM(BN26:BN32)</f>
        <v>-4104.7</v>
      </c>
      <c r="BO33" s="17">
        <f>SUM(BO26:BO32)</f>
        <v>-4104.7</v>
      </c>
      <c r="BQ33" s="16">
        <f>SUM(BQ26:BQ32)</f>
        <v>-4820.7</v>
      </c>
      <c r="BR33" s="60">
        <f>SUM(BR26:BR32)</f>
        <v>-4939.7</v>
      </c>
      <c r="BS33" s="16">
        <f>SUM(BS26:BS32)</f>
        <v>-4770.7</v>
      </c>
      <c r="BT33" s="16">
        <f>SUM(BT26:BT32)</f>
        <v>-4428.7</v>
      </c>
      <c r="BU33" s="17">
        <f>SUM(BU26:BU32)</f>
        <v>-4428.7</v>
      </c>
      <c r="BW33" s="16">
        <f>SUM(BW26:BW32)</f>
        <v>-4490.7</v>
      </c>
      <c r="BX33" s="60">
        <f>SUM(BX26:BX32)</f>
        <v>-2691.7</v>
      </c>
      <c r="BY33" s="16">
        <f>SUM(BY26:BY32)</f>
        <v>-2750.7</v>
      </c>
      <c r="BZ33" s="16">
        <f>SUM(BZ26:BZ32)</f>
        <v>-1908.6999999999998</v>
      </c>
      <c r="CA33" s="17">
        <f>SUM(CA26:CA32)</f>
        <v>-1908.6999999999998</v>
      </c>
      <c r="CC33" s="16">
        <f>SUM(CC26:CC32)</f>
        <v>-2775.7</v>
      </c>
      <c r="CD33" s="16">
        <f>SUM(CD26:CD32)</f>
        <v>-2838.7</v>
      </c>
      <c r="CE33" s="16">
        <f>SUM(CE26:CE32)</f>
        <v>-2752.7</v>
      </c>
      <c r="CF33" s="16">
        <f>SUM(CF26:CF32)</f>
        <v>-2110.6999999999998</v>
      </c>
      <c r="CG33" s="17">
        <f>SUM(CG26:CG32)</f>
        <v>-2110.6999999999998</v>
      </c>
      <c r="CI33" s="16">
        <f>SUM(CI26:CI32)</f>
        <v>-1998.6999999999998</v>
      </c>
      <c r="CJ33" s="16">
        <f>SUM(CJ26:CJ32)</f>
        <v>-2007.6999999999998</v>
      </c>
      <c r="CK33" s="16">
        <f>SUM(CK26:CK32)</f>
        <v>-2118.6999999999998</v>
      </c>
      <c r="CL33" s="16">
        <f>SUM(CL26:CL32)</f>
        <v>-1134.6999999999998</v>
      </c>
      <c r="CM33" s="17">
        <f>SUM(CM26:CM32)</f>
        <v>-1134.6999999999998</v>
      </c>
    </row>
    <row r="34" spans="1:91">
      <c r="BL34" s="9"/>
    </row>
    <row r="36" spans="1:91">
      <c r="V36" s="44"/>
      <c r="W36" s="45"/>
      <c r="X36" s="45"/>
      <c r="AB36" s="44"/>
      <c r="AC36" s="45"/>
      <c r="AD36" s="45"/>
      <c r="AH36" s="44"/>
      <c r="AI36" s="45"/>
      <c r="AJ36" s="45"/>
      <c r="AN36" s="44"/>
      <c r="AO36" s="45"/>
      <c r="AP36" s="45"/>
      <c r="AT36" s="44"/>
      <c r="AU36" s="45"/>
      <c r="AV36" s="45"/>
      <c r="AZ36" s="44"/>
      <c r="BA36" s="45"/>
      <c r="BB36" s="45"/>
      <c r="BF36" s="44"/>
      <c r="BG36" s="45"/>
      <c r="BH36" s="45"/>
      <c r="BI36" s="18"/>
      <c r="BL36" s="44"/>
      <c r="BM36" s="45"/>
      <c r="BN36" s="45"/>
      <c r="BO36" s="18"/>
    </row>
    <row r="37" spans="1:91">
      <c r="V37" s="44"/>
      <c r="W37" s="44"/>
      <c r="X37" s="44"/>
      <c r="AB37" s="44"/>
      <c r="AC37" s="44"/>
      <c r="AD37" s="44"/>
      <c r="AH37" s="44"/>
      <c r="AI37" s="44"/>
      <c r="AJ37" s="44"/>
      <c r="AN37" s="44"/>
      <c r="AO37" s="44"/>
      <c r="AP37" s="44"/>
      <c r="AT37" s="44"/>
      <c r="AU37" s="44"/>
      <c r="AV37" s="44"/>
      <c r="AZ37" s="44"/>
      <c r="BA37" s="44"/>
      <c r="BB37" s="44"/>
      <c r="BF37" s="44"/>
      <c r="BG37" s="44"/>
      <c r="BH37" s="44"/>
      <c r="BL37" s="44"/>
      <c r="BM37" s="44"/>
      <c r="BN37" s="44"/>
    </row>
  </sheetData>
  <mergeCells count="30">
    <mergeCell ref="C3:G3"/>
    <mergeCell ref="I3:M3"/>
    <mergeCell ref="O1:S1"/>
    <mergeCell ref="BQ1:BU1"/>
    <mergeCell ref="BQ3:BU3"/>
    <mergeCell ref="AM3:AQ3"/>
    <mergeCell ref="BK1:BO1"/>
    <mergeCell ref="BK3:BO3"/>
    <mergeCell ref="C1:G1"/>
    <mergeCell ref="I1:M1"/>
    <mergeCell ref="AG1:AK1"/>
    <mergeCell ref="AG3:AK3"/>
    <mergeCell ref="BE1:BI1"/>
    <mergeCell ref="BE3:BI3"/>
    <mergeCell ref="AY1:BC1"/>
    <mergeCell ref="AY3:BC3"/>
    <mergeCell ref="CI1:CM1"/>
    <mergeCell ref="CI3:CM3"/>
    <mergeCell ref="BW1:CA1"/>
    <mergeCell ref="BW3:CA3"/>
    <mergeCell ref="O3:S3"/>
    <mergeCell ref="U3:Y3"/>
    <mergeCell ref="AM1:AQ1"/>
    <mergeCell ref="U1:Y1"/>
    <mergeCell ref="AS1:AW1"/>
    <mergeCell ref="AS3:AW3"/>
    <mergeCell ref="AA3:AE3"/>
    <mergeCell ref="AA1:AE1"/>
    <mergeCell ref="CC1:CG1"/>
    <mergeCell ref="CC3:CG3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7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86"/>
  <sheetViews>
    <sheetView showGridLines="0" zoomScaleNormal="100" workbookViewId="0">
      <pane xSplit="1" ySplit="6" topLeftCell="B21" activePane="bottomRight" state="frozen"/>
      <selection activeCell="D13" sqref="D13:K13"/>
      <selection pane="topRight" activeCell="D13" sqref="D13:K13"/>
      <selection pane="bottomLeft" activeCell="D13" sqref="D13:K13"/>
      <selection pane="bottomRight" activeCell="D13" sqref="D13:K13"/>
    </sheetView>
  </sheetViews>
  <sheetFormatPr defaultColWidth="9.140625" defaultRowHeight="12.75"/>
  <cols>
    <col min="1" max="1" width="32.7109375" style="4" customWidth="1"/>
    <col min="2" max="2" width="4.28515625" style="9" customWidth="1"/>
    <col min="3" max="6" width="9.140625" style="4" customWidth="1"/>
    <col min="7" max="7" width="9.140625" style="11" customWidth="1"/>
    <col min="8" max="8" width="4.85546875" style="3" customWidth="1"/>
    <col min="9" max="12" width="9.140625" style="4" customWidth="1"/>
    <col min="13" max="13" width="9.140625" style="11" customWidth="1"/>
    <col min="14" max="14" width="4.85546875" style="4" customWidth="1"/>
    <col min="15" max="18" width="9.140625" style="4" customWidth="1"/>
    <col min="19" max="19" width="9.140625" style="11" customWidth="1"/>
    <col min="20" max="20" width="4.85546875" style="4" customWidth="1"/>
    <col min="21" max="24" width="9.140625" style="4" customWidth="1"/>
    <col min="25" max="25" width="9.140625" style="11" customWidth="1"/>
    <col min="26" max="26" width="4.85546875" style="4" customWidth="1"/>
    <col min="27" max="27" width="9.42578125" style="4" customWidth="1"/>
    <col min="28" max="28" width="9.140625" style="4" customWidth="1"/>
    <col min="29" max="29" width="9.28515625" style="4" customWidth="1"/>
    <col min="30" max="30" width="9.42578125" style="4" customWidth="1"/>
    <col min="31" max="31" width="9.28515625" style="11" customWidth="1"/>
    <col min="32" max="32" width="4.85546875" style="4" customWidth="1"/>
    <col min="33" max="33" width="9.28515625" style="4" customWidth="1"/>
    <col min="34" max="36" width="9.42578125" style="4" customWidth="1"/>
    <col min="37" max="37" width="9.28515625" style="11" customWidth="1"/>
    <col min="38" max="38" width="4.85546875" style="4" customWidth="1"/>
    <col min="39" max="41" width="9.28515625" style="4" customWidth="1"/>
    <col min="42" max="42" width="9.42578125" style="4" customWidth="1"/>
    <col min="43" max="43" width="9.28515625" style="11" customWidth="1"/>
    <col min="44" max="44" width="4.85546875" style="4" customWidth="1"/>
    <col min="45" max="45" width="9.42578125" style="4" customWidth="1"/>
    <col min="46" max="48" width="9.28515625" style="4" customWidth="1"/>
    <col min="49" max="49" width="9.28515625" style="11" customWidth="1"/>
    <col min="50" max="50" width="3.28515625" style="4" customWidth="1"/>
    <col min="51" max="52" width="9.28515625" style="4" bestFit="1" customWidth="1"/>
    <col min="53" max="53" width="10.5703125" style="4" bestFit="1" customWidth="1"/>
    <col min="54" max="54" width="10" style="4" bestFit="1" customWidth="1"/>
    <col min="55" max="55" width="9.42578125" style="4" bestFit="1" customWidth="1"/>
    <col min="56" max="56" width="2.42578125" style="4" customWidth="1"/>
    <col min="57" max="61" width="9.28515625" style="4" bestFit="1" customWidth="1"/>
    <col min="62" max="62" width="1.5703125" style="4" customWidth="1"/>
    <col min="63" max="67" width="9.28515625" style="4" bestFit="1" customWidth="1"/>
    <col min="68" max="68" width="1.5703125" style="4" customWidth="1"/>
    <col min="69" max="73" width="9.140625" style="4"/>
    <col min="74" max="74" width="3.42578125" style="4" customWidth="1"/>
    <col min="75" max="79" width="9.140625" style="4"/>
    <col min="80" max="80" width="3.140625" style="4" customWidth="1"/>
    <col min="81" max="85" width="9.140625" style="4"/>
    <col min="86" max="86" width="3.140625" style="4" customWidth="1"/>
    <col min="87" max="16384" width="9.140625" style="4"/>
  </cols>
  <sheetData>
    <row r="1" spans="1:246">
      <c r="C1" s="112" t="s">
        <v>144</v>
      </c>
      <c r="D1" s="112"/>
      <c r="E1" s="112"/>
      <c r="F1" s="112"/>
      <c r="G1" s="112"/>
      <c r="I1" s="112" t="s">
        <v>144</v>
      </c>
      <c r="J1" s="112"/>
      <c r="K1" s="112"/>
      <c r="L1" s="112"/>
      <c r="M1" s="112"/>
      <c r="O1" s="112" t="s">
        <v>144</v>
      </c>
      <c r="P1" s="112"/>
      <c r="Q1" s="112"/>
      <c r="R1" s="112"/>
      <c r="S1" s="112"/>
      <c r="U1" s="112" t="s">
        <v>144</v>
      </c>
      <c r="V1" s="112"/>
      <c r="W1" s="112"/>
      <c r="X1" s="112"/>
      <c r="Y1" s="112"/>
      <c r="AA1" s="112" t="s">
        <v>120</v>
      </c>
      <c r="AB1" s="112"/>
      <c r="AC1" s="112"/>
      <c r="AD1" s="112"/>
      <c r="AE1" s="112"/>
      <c r="AG1" s="112" t="s">
        <v>120</v>
      </c>
      <c r="AH1" s="112"/>
      <c r="AI1" s="112"/>
      <c r="AJ1" s="112"/>
      <c r="AK1" s="112"/>
      <c r="AM1" s="112" t="s">
        <v>120</v>
      </c>
      <c r="AN1" s="112"/>
      <c r="AO1" s="112"/>
      <c r="AP1" s="112"/>
      <c r="AQ1" s="112"/>
      <c r="AS1" s="112" t="s">
        <v>120</v>
      </c>
      <c r="AT1" s="112"/>
      <c r="AU1" s="112"/>
      <c r="AV1" s="112"/>
      <c r="AW1" s="112"/>
      <c r="AY1" s="112" t="s">
        <v>120</v>
      </c>
      <c r="AZ1" s="112"/>
      <c r="BA1" s="112"/>
      <c r="BB1" s="112"/>
      <c r="BC1" s="112"/>
      <c r="BE1" s="112" t="s">
        <v>120</v>
      </c>
      <c r="BF1" s="112"/>
      <c r="BG1" s="112"/>
      <c r="BH1" s="112"/>
      <c r="BI1" s="112"/>
      <c r="BK1" s="112" t="s">
        <v>120</v>
      </c>
      <c r="BL1" s="112"/>
      <c r="BM1" s="112"/>
      <c r="BN1" s="112"/>
      <c r="BO1" s="112"/>
      <c r="BQ1" s="112" t="s">
        <v>120</v>
      </c>
      <c r="BR1" s="112"/>
      <c r="BS1" s="112"/>
      <c r="BT1" s="112"/>
      <c r="BU1" s="112"/>
      <c r="BW1" s="112" t="s">
        <v>120</v>
      </c>
      <c r="BX1" s="112"/>
      <c r="BY1" s="112"/>
      <c r="BZ1" s="112"/>
      <c r="CA1" s="112"/>
      <c r="CC1" s="112" t="s">
        <v>120</v>
      </c>
      <c r="CD1" s="112"/>
      <c r="CE1" s="112"/>
      <c r="CF1" s="112"/>
      <c r="CG1" s="112"/>
      <c r="CI1" s="112" t="s">
        <v>120</v>
      </c>
      <c r="CJ1" s="112"/>
      <c r="CK1" s="112"/>
      <c r="CL1" s="112"/>
      <c r="CM1" s="112"/>
    </row>
    <row r="2" spans="1:246">
      <c r="A2" s="1" t="s">
        <v>46</v>
      </c>
      <c r="B2" s="2"/>
      <c r="C2" s="113">
        <v>2001</v>
      </c>
      <c r="D2" s="113"/>
      <c r="E2" s="113"/>
      <c r="F2" s="113"/>
      <c r="G2" s="113"/>
      <c r="I2" s="113">
        <v>2002</v>
      </c>
      <c r="J2" s="113"/>
      <c r="K2" s="113"/>
      <c r="L2" s="113"/>
      <c r="M2" s="113"/>
      <c r="O2" s="113">
        <v>2003</v>
      </c>
      <c r="P2" s="113"/>
      <c r="Q2" s="113"/>
      <c r="R2" s="113"/>
      <c r="S2" s="113"/>
      <c r="U2" s="113">
        <v>2004</v>
      </c>
      <c r="V2" s="113"/>
      <c r="W2" s="113"/>
      <c r="X2" s="113"/>
      <c r="Y2" s="113"/>
      <c r="AA2" s="113">
        <v>2004</v>
      </c>
      <c r="AB2" s="113"/>
      <c r="AC2" s="113"/>
      <c r="AD2" s="113"/>
      <c r="AE2" s="113"/>
      <c r="AG2" s="113">
        <v>2005</v>
      </c>
      <c r="AH2" s="113"/>
      <c r="AI2" s="113"/>
      <c r="AJ2" s="113"/>
      <c r="AK2" s="113"/>
      <c r="AM2" s="113">
        <v>2006</v>
      </c>
      <c r="AN2" s="113"/>
      <c r="AO2" s="113"/>
      <c r="AP2" s="113"/>
      <c r="AQ2" s="113"/>
      <c r="AS2" s="113">
        <v>2007</v>
      </c>
      <c r="AT2" s="113"/>
      <c r="AU2" s="113"/>
      <c r="AV2" s="113"/>
      <c r="AW2" s="113"/>
      <c r="AY2" s="113">
        <v>2008</v>
      </c>
      <c r="AZ2" s="113"/>
      <c r="BA2" s="113"/>
      <c r="BB2" s="113"/>
      <c r="BC2" s="113"/>
      <c r="BE2" s="113">
        <v>2009</v>
      </c>
      <c r="BF2" s="113"/>
      <c r="BG2" s="113"/>
      <c r="BH2" s="113"/>
      <c r="BI2" s="113"/>
      <c r="BK2" s="113">
        <v>2010</v>
      </c>
      <c r="BL2" s="113"/>
      <c r="BM2" s="113"/>
      <c r="BN2" s="113"/>
      <c r="BO2" s="113"/>
      <c r="BQ2" s="113">
        <v>2011</v>
      </c>
      <c r="BR2" s="113"/>
      <c r="BS2" s="113"/>
      <c r="BT2" s="113"/>
      <c r="BU2" s="113"/>
      <c r="BW2" s="113">
        <v>2012</v>
      </c>
      <c r="BX2" s="113"/>
      <c r="BY2" s="113"/>
      <c r="BZ2" s="113"/>
      <c r="CA2" s="113"/>
      <c r="CC2" s="113">
        <v>2013</v>
      </c>
      <c r="CD2" s="113"/>
      <c r="CE2" s="113"/>
      <c r="CF2" s="113"/>
      <c r="CG2" s="113"/>
      <c r="CI2" s="113">
        <v>2014</v>
      </c>
      <c r="CJ2" s="113"/>
      <c r="CK2" s="113"/>
      <c r="CL2" s="113"/>
      <c r="CM2" s="113"/>
    </row>
    <row r="3" spans="1:246">
      <c r="A3" s="5" t="s">
        <v>210</v>
      </c>
      <c r="B3" s="6"/>
      <c r="C3" s="103" t="s">
        <v>10</v>
      </c>
      <c r="D3" s="103" t="s">
        <v>11</v>
      </c>
      <c r="E3" s="103" t="s">
        <v>12</v>
      </c>
      <c r="F3" s="103" t="s">
        <v>13</v>
      </c>
      <c r="G3" s="7" t="s">
        <v>14</v>
      </c>
      <c r="H3" s="8"/>
      <c r="I3" s="103" t="s">
        <v>10</v>
      </c>
      <c r="J3" s="103" t="s">
        <v>11</v>
      </c>
      <c r="K3" s="103" t="s">
        <v>12</v>
      </c>
      <c r="L3" s="103" t="s">
        <v>13</v>
      </c>
      <c r="M3" s="7" t="s">
        <v>14</v>
      </c>
      <c r="O3" s="103" t="s">
        <v>10</v>
      </c>
      <c r="P3" s="103" t="s">
        <v>11</v>
      </c>
      <c r="Q3" s="103" t="s">
        <v>12</v>
      </c>
      <c r="R3" s="103" t="s">
        <v>13</v>
      </c>
      <c r="S3" s="7" t="s">
        <v>14</v>
      </c>
      <c r="U3" s="103" t="s">
        <v>10</v>
      </c>
      <c r="V3" s="103" t="s">
        <v>11</v>
      </c>
      <c r="W3" s="103" t="s">
        <v>12</v>
      </c>
      <c r="X3" s="103" t="s">
        <v>13</v>
      </c>
      <c r="Y3" s="7" t="s">
        <v>14</v>
      </c>
      <c r="AA3" s="103" t="s">
        <v>10</v>
      </c>
      <c r="AB3" s="103" t="s">
        <v>11</v>
      </c>
      <c r="AC3" s="103" t="s">
        <v>12</v>
      </c>
      <c r="AD3" s="103" t="s">
        <v>13</v>
      </c>
      <c r="AE3" s="7" t="s">
        <v>14</v>
      </c>
      <c r="AF3" s="76"/>
      <c r="AG3" s="103" t="s">
        <v>10</v>
      </c>
      <c r="AH3" s="103" t="s">
        <v>11</v>
      </c>
      <c r="AI3" s="103" t="s">
        <v>12</v>
      </c>
      <c r="AJ3" s="103" t="s">
        <v>13</v>
      </c>
      <c r="AK3" s="7" t="s">
        <v>14</v>
      </c>
      <c r="AM3" s="103" t="s">
        <v>10</v>
      </c>
      <c r="AN3" s="103" t="s">
        <v>11</v>
      </c>
      <c r="AO3" s="103" t="s">
        <v>12</v>
      </c>
      <c r="AP3" s="103" t="s">
        <v>13</v>
      </c>
      <c r="AQ3" s="7" t="s">
        <v>14</v>
      </c>
      <c r="AS3" s="103" t="s">
        <v>10</v>
      </c>
      <c r="AT3" s="103" t="s">
        <v>11</v>
      </c>
      <c r="AU3" s="103" t="s">
        <v>12</v>
      </c>
      <c r="AV3" s="103" t="s">
        <v>13</v>
      </c>
      <c r="AW3" s="7" t="s">
        <v>14</v>
      </c>
      <c r="AY3" s="103" t="s">
        <v>10</v>
      </c>
      <c r="AZ3" s="103" t="s">
        <v>11</v>
      </c>
      <c r="BA3" s="103" t="s">
        <v>12</v>
      </c>
      <c r="BB3" s="103" t="s">
        <v>13</v>
      </c>
      <c r="BC3" s="7" t="s">
        <v>14</v>
      </c>
      <c r="BE3" s="103" t="s">
        <v>10</v>
      </c>
      <c r="BF3" s="103" t="s">
        <v>11</v>
      </c>
      <c r="BG3" s="103" t="s">
        <v>12</v>
      </c>
      <c r="BH3" s="103" t="s">
        <v>13</v>
      </c>
      <c r="BI3" s="7" t="s">
        <v>14</v>
      </c>
      <c r="BK3" s="103" t="s">
        <v>10</v>
      </c>
      <c r="BL3" s="103" t="s">
        <v>11</v>
      </c>
      <c r="BM3" s="103" t="s">
        <v>12</v>
      </c>
      <c r="BN3" s="103" t="s">
        <v>13</v>
      </c>
      <c r="BO3" s="7" t="s">
        <v>14</v>
      </c>
      <c r="BQ3" s="103" t="s">
        <v>10</v>
      </c>
      <c r="BR3" s="103" t="s">
        <v>11</v>
      </c>
      <c r="BS3" s="103" t="s">
        <v>12</v>
      </c>
      <c r="BT3" s="103" t="s">
        <v>13</v>
      </c>
      <c r="BU3" s="7" t="s">
        <v>14</v>
      </c>
      <c r="BW3" s="103" t="s">
        <v>10</v>
      </c>
      <c r="BX3" s="103" t="s">
        <v>11</v>
      </c>
      <c r="BY3" s="103" t="s">
        <v>12</v>
      </c>
      <c r="BZ3" s="103" t="s">
        <v>13</v>
      </c>
      <c r="CA3" s="7" t="s">
        <v>14</v>
      </c>
      <c r="CC3" s="103" t="s">
        <v>10</v>
      </c>
      <c r="CD3" s="103" t="s">
        <v>11</v>
      </c>
      <c r="CE3" s="103" t="s">
        <v>12</v>
      </c>
      <c r="CF3" s="103" t="s">
        <v>13</v>
      </c>
      <c r="CG3" s="7" t="s">
        <v>14</v>
      </c>
      <c r="CI3" s="103" t="s">
        <v>10</v>
      </c>
      <c r="CJ3" s="103" t="s">
        <v>11</v>
      </c>
      <c r="CK3" s="103" t="s">
        <v>12</v>
      </c>
      <c r="CL3" s="103" t="s">
        <v>13</v>
      </c>
      <c r="CM3" s="7" t="s">
        <v>14</v>
      </c>
    </row>
    <row r="4" spans="1:246">
      <c r="G4" s="5"/>
      <c r="M4" s="5"/>
      <c r="S4" s="5"/>
      <c r="Y4" s="5"/>
      <c r="AE4" s="5"/>
      <c r="AK4" s="5"/>
      <c r="AQ4" s="5"/>
      <c r="AW4" s="5"/>
      <c r="BC4" s="5"/>
      <c r="BI4" s="5"/>
      <c r="BO4" s="5"/>
      <c r="BU4" s="5"/>
      <c r="CA4" s="5"/>
      <c r="CG4" s="5"/>
      <c r="CM4" s="5"/>
    </row>
    <row r="5" spans="1:246" ht="4.5" customHeight="1">
      <c r="G5" s="5"/>
      <c r="M5" s="5"/>
      <c r="S5" s="5"/>
      <c r="Y5" s="5"/>
      <c r="AE5" s="5"/>
      <c r="AK5" s="5"/>
      <c r="AQ5" s="5"/>
      <c r="AW5" s="5"/>
      <c r="BC5" s="5"/>
      <c r="BI5" s="5"/>
      <c r="BO5" s="5"/>
      <c r="BU5" s="5"/>
      <c r="CA5" s="5"/>
      <c r="CG5" s="5"/>
      <c r="CM5" s="5"/>
    </row>
    <row r="6" spans="1:246">
      <c r="A6" s="10" t="s">
        <v>0</v>
      </c>
      <c r="G6" s="5"/>
      <c r="M6" s="5"/>
      <c r="S6" s="5"/>
      <c r="Y6" s="5"/>
      <c r="AE6" s="5"/>
      <c r="AK6" s="5"/>
      <c r="AQ6" s="5"/>
      <c r="AW6" s="5"/>
      <c r="BC6" s="5"/>
      <c r="BI6" s="5"/>
      <c r="BO6" s="5"/>
      <c r="BU6" s="5"/>
      <c r="CA6" s="5"/>
      <c r="CG6" s="5"/>
      <c r="CM6" s="5"/>
    </row>
    <row r="7" spans="1:246">
      <c r="A7" s="4" t="s">
        <v>145</v>
      </c>
      <c r="C7" s="13">
        <v>694</v>
      </c>
      <c r="D7" s="13">
        <v>787</v>
      </c>
      <c r="E7" s="13">
        <v>811</v>
      </c>
      <c r="F7" s="13">
        <v>747</v>
      </c>
      <c r="G7" s="14">
        <f>SUM(C7:F7)</f>
        <v>3039</v>
      </c>
      <c r="H7" s="15"/>
      <c r="I7" s="13">
        <v>593</v>
      </c>
      <c r="J7" s="13">
        <v>731</v>
      </c>
      <c r="K7" s="13">
        <v>771</v>
      </c>
      <c r="L7" s="13">
        <v>725</v>
      </c>
      <c r="M7" s="14">
        <f>SUM(I7:L7)</f>
        <v>2820</v>
      </c>
      <c r="O7" s="13">
        <v>559</v>
      </c>
      <c r="P7" s="13">
        <v>688</v>
      </c>
      <c r="Q7" s="13">
        <v>767</v>
      </c>
      <c r="R7" s="13">
        <v>704</v>
      </c>
      <c r="S7" s="14">
        <f>SUM(O7:R7)</f>
        <v>2718</v>
      </c>
      <c r="U7" s="13">
        <v>672</v>
      </c>
      <c r="V7" s="13">
        <v>824</v>
      </c>
      <c r="W7" s="13">
        <v>912</v>
      </c>
      <c r="X7" s="13">
        <v>916</v>
      </c>
      <c r="Y7" s="14">
        <f>SUM(U7:X7)</f>
        <v>3324</v>
      </c>
      <c r="AA7" s="13">
        <v>578</v>
      </c>
      <c r="AB7" s="13">
        <v>728</v>
      </c>
      <c r="AC7" s="13">
        <v>807</v>
      </c>
      <c r="AD7" s="13">
        <v>821</v>
      </c>
      <c r="AE7" s="14">
        <f>SUM(AA7:AD7)</f>
        <v>2934</v>
      </c>
      <c r="AG7" s="13">
        <v>644</v>
      </c>
      <c r="AH7" s="13">
        <v>870</v>
      </c>
      <c r="AI7" s="13">
        <v>954</v>
      </c>
      <c r="AJ7" s="13">
        <v>1061</v>
      </c>
      <c r="AK7" s="14">
        <f>SUM(AG7:AJ7)</f>
        <v>3529</v>
      </c>
      <c r="AM7" s="13">
        <v>1033</v>
      </c>
      <c r="AN7" s="13">
        <v>1373</v>
      </c>
      <c r="AO7" s="13">
        <v>1390</v>
      </c>
      <c r="AP7" s="13">
        <v>1472</v>
      </c>
      <c r="AQ7" s="14">
        <f>SUM(AM7:AP7)</f>
        <v>5268</v>
      </c>
      <c r="AS7" s="13">
        <v>1674</v>
      </c>
      <c r="AT7" s="13">
        <v>2048</v>
      </c>
      <c r="AU7" s="13">
        <v>1977</v>
      </c>
      <c r="AV7" s="13">
        <v>1925</v>
      </c>
      <c r="AW7" s="14">
        <f>SUM(AS7:AV7)</f>
        <v>7624</v>
      </c>
      <c r="AY7" s="13">
        <v>1856</v>
      </c>
      <c r="AZ7" s="13">
        <v>2097</v>
      </c>
      <c r="BA7" s="13">
        <v>2051</v>
      </c>
      <c r="BB7" s="13">
        <f>7766-6004</f>
        <v>1762</v>
      </c>
      <c r="BC7" s="14">
        <f>SUM(AY7:BB7)</f>
        <v>7766</v>
      </c>
      <c r="BE7" s="13">
        <v>1270</v>
      </c>
      <c r="BF7" s="13">
        <v>1781</v>
      </c>
      <c r="BG7" s="13">
        <v>1703</v>
      </c>
      <c r="BH7" s="82">
        <v>1629</v>
      </c>
      <c r="BI7" s="14">
        <f>SUM(BE7:BH7)</f>
        <v>6383</v>
      </c>
      <c r="BK7" s="13">
        <v>1604</v>
      </c>
      <c r="BL7" s="13">
        <v>2056</v>
      </c>
      <c r="BM7" s="13">
        <v>2308</v>
      </c>
      <c r="BN7" s="82">
        <v>2552</v>
      </c>
      <c r="BO7" s="14">
        <f>SUM(BK7:BN7)</f>
        <v>8520</v>
      </c>
      <c r="BQ7" s="13">
        <v>2179</v>
      </c>
      <c r="BR7" s="13">
        <v>2316</v>
      </c>
      <c r="BS7" s="13">
        <v>2356</v>
      </c>
      <c r="BT7" s="82">
        <v>2237</v>
      </c>
      <c r="BU7" s="14">
        <f>SUM(BQ7:BT7)</f>
        <v>9088</v>
      </c>
      <c r="BW7" s="13">
        <v>1837</v>
      </c>
      <c r="BX7" s="13">
        <v>2159</v>
      </c>
      <c r="BY7" s="13">
        <v>2247</v>
      </c>
      <c r="BZ7" s="82">
        <v>2283</v>
      </c>
      <c r="CA7" s="14">
        <f>SUM(BW7:BZ7)</f>
        <v>8526</v>
      </c>
      <c r="CC7" s="13">
        <v>1799</v>
      </c>
      <c r="CD7" s="13">
        <v>2237</v>
      </c>
      <c r="CE7" s="13">
        <v>2456</v>
      </c>
      <c r="CF7" s="82">
        <v>2491</v>
      </c>
      <c r="CG7" s="14">
        <f>SUM(CC7:CF7)</f>
        <v>8983</v>
      </c>
      <c r="CI7" s="13">
        <v>2064</v>
      </c>
      <c r="CJ7" s="13">
        <v>2197</v>
      </c>
      <c r="CK7" s="13">
        <v>2322</v>
      </c>
      <c r="CL7" s="82">
        <v>2155</v>
      </c>
      <c r="CM7" s="14">
        <f>SUM(CI7:CL7)</f>
        <v>8738</v>
      </c>
    </row>
    <row r="8" spans="1:246">
      <c r="A8" s="4" t="s">
        <v>211</v>
      </c>
      <c r="C8" s="13">
        <v>743</v>
      </c>
      <c r="D8" s="13">
        <v>733</v>
      </c>
      <c r="E8" s="13">
        <v>681</v>
      </c>
      <c r="F8" s="13">
        <v>726</v>
      </c>
      <c r="G8" s="14">
        <f t="shared" ref="G8:G13" si="0">SUM(C8:F8)</f>
        <v>2883</v>
      </c>
      <c r="H8" s="15"/>
      <c r="I8" s="13">
        <v>681</v>
      </c>
      <c r="J8" s="13">
        <v>718</v>
      </c>
      <c r="K8" s="13">
        <v>660</v>
      </c>
      <c r="L8" s="13">
        <v>674</v>
      </c>
      <c r="M8" s="14">
        <f t="shared" ref="M8:M13" si="1">SUM(I8:L8)</f>
        <v>2733</v>
      </c>
      <c r="O8" s="13">
        <v>673</v>
      </c>
      <c r="P8" s="13">
        <v>687</v>
      </c>
      <c r="Q8" s="13">
        <v>657</v>
      </c>
      <c r="R8" s="13">
        <v>684</v>
      </c>
      <c r="S8" s="14">
        <f t="shared" ref="S8:S13" si="2">SUM(O8:R8)</f>
        <v>2701</v>
      </c>
      <c r="U8" s="13">
        <v>703</v>
      </c>
      <c r="V8" s="13">
        <v>1103</v>
      </c>
      <c r="W8" s="13">
        <v>1147</v>
      </c>
      <c r="X8" s="13">
        <v>1158</v>
      </c>
      <c r="Y8" s="14">
        <f t="shared" ref="Y8:Y13" si="3">SUM(U8:X8)</f>
        <v>4111</v>
      </c>
      <c r="AA8" s="13">
        <v>703</v>
      </c>
      <c r="AB8" s="13">
        <v>1103</v>
      </c>
      <c r="AC8" s="13">
        <v>1147</v>
      </c>
      <c r="AD8" s="13">
        <v>1158</v>
      </c>
      <c r="AE8" s="14">
        <f t="shared" ref="AE8:AE13" si="4">SUM(AA8:AD8)</f>
        <v>4111</v>
      </c>
      <c r="AG8" s="13">
        <v>1195</v>
      </c>
      <c r="AH8" s="13">
        <v>1394</v>
      </c>
      <c r="AI8" s="13">
        <v>1247</v>
      </c>
      <c r="AJ8" s="13">
        <v>1277</v>
      </c>
      <c r="AK8" s="14">
        <f t="shared" ref="AK8:AK13" si="5">SUM(AG8:AJ8)</f>
        <v>5113</v>
      </c>
      <c r="AM8" s="13">
        <v>1353</v>
      </c>
      <c r="AN8" s="13">
        <v>1438</v>
      </c>
      <c r="AO8" s="13">
        <v>1292</v>
      </c>
      <c r="AP8" s="13">
        <v>1356</v>
      </c>
      <c r="AQ8" s="14">
        <f t="shared" ref="AQ8:AQ13" si="6">SUM(AM8:AP8)</f>
        <v>5439</v>
      </c>
      <c r="AS8" s="13">
        <v>1432</v>
      </c>
      <c r="AT8" s="13">
        <v>1530</v>
      </c>
      <c r="AU8" s="13">
        <v>1347</v>
      </c>
      <c r="AV8" s="13">
        <v>1475</v>
      </c>
      <c r="AW8" s="14">
        <f t="shared" ref="AW8:AW13" si="7">SUM(AS8:AV8)</f>
        <v>5784</v>
      </c>
      <c r="AY8" s="13">
        <v>1483</v>
      </c>
      <c r="AZ8" s="13">
        <v>1637</v>
      </c>
      <c r="BA8" s="13">
        <v>1426</v>
      </c>
      <c r="BB8" s="13">
        <f>5882-4546</f>
        <v>1336</v>
      </c>
      <c r="BC8" s="14">
        <f t="shared" ref="BC8:BC13" si="8">SUM(AY8:BB8)</f>
        <v>5882</v>
      </c>
      <c r="BE8" s="13">
        <v>1318</v>
      </c>
      <c r="BF8" s="13">
        <v>1324</v>
      </c>
      <c r="BG8" s="13">
        <v>1242</v>
      </c>
      <c r="BH8" s="82">
        <v>1254</v>
      </c>
      <c r="BI8" s="14">
        <f t="shared" ref="BI8:BI13" si="9">SUM(BE8:BH8)</f>
        <v>5138</v>
      </c>
      <c r="BK8" s="13">
        <v>1418</v>
      </c>
      <c r="BL8" s="13">
        <v>1532</v>
      </c>
      <c r="BM8" s="13">
        <v>1372</v>
      </c>
      <c r="BN8" s="82">
        <v>1425</v>
      </c>
      <c r="BO8" s="14">
        <f t="shared" ref="BO8:BO13" si="10">SUM(BK8:BN8)</f>
        <v>5747</v>
      </c>
      <c r="BQ8" s="13">
        <v>1552</v>
      </c>
      <c r="BR8" s="13">
        <v>1651</v>
      </c>
      <c r="BS8" s="13">
        <v>1501</v>
      </c>
      <c r="BT8" s="82">
        <v>1603</v>
      </c>
      <c r="BU8" s="14">
        <f t="shared" ref="BU8:BU13" si="11">SUM(BQ8:BT8)</f>
        <v>6307</v>
      </c>
      <c r="BW8" s="13">
        <v>1636</v>
      </c>
      <c r="BX8" s="13">
        <v>1693</v>
      </c>
      <c r="BY8" s="13">
        <v>1517</v>
      </c>
      <c r="BZ8" s="82">
        <v>1645</v>
      </c>
      <c r="CA8" s="14">
        <f t="shared" ref="CA8:CA13" si="12">SUM(BW8:BZ8)</f>
        <v>6491</v>
      </c>
      <c r="CC8" s="13">
        <v>1655</v>
      </c>
      <c r="CD8" s="13">
        <v>1741</v>
      </c>
      <c r="CE8" s="13">
        <v>1556</v>
      </c>
      <c r="CF8" s="82">
        <v>1609</v>
      </c>
      <c r="CG8" s="14">
        <f t="shared" ref="CG8:CG13" si="13">SUM(CC8:CF8)</f>
        <v>6561</v>
      </c>
      <c r="CI8" s="13">
        <v>1737</v>
      </c>
      <c r="CJ8" s="13">
        <v>1763</v>
      </c>
      <c r="CK8" s="13">
        <v>1559</v>
      </c>
      <c r="CL8" s="82">
        <v>1777</v>
      </c>
      <c r="CM8" s="14">
        <f t="shared" ref="CM8:CM13" si="14">SUM(CI8:CL8)</f>
        <v>6836</v>
      </c>
    </row>
    <row r="9" spans="1:246" hidden="1">
      <c r="A9" s="4" t="s">
        <v>41</v>
      </c>
      <c r="C9" s="13">
        <v>25</v>
      </c>
      <c r="D9" s="13">
        <v>26</v>
      </c>
      <c r="E9" s="13">
        <v>25</v>
      </c>
      <c r="F9" s="13">
        <v>23</v>
      </c>
      <c r="G9" s="14">
        <f t="shared" si="0"/>
        <v>99</v>
      </c>
      <c r="H9" s="15"/>
      <c r="I9" s="13">
        <v>18</v>
      </c>
      <c r="J9" s="13">
        <v>19</v>
      </c>
      <c r="K9" s="13">
        <v>18</v>
      </c>
      <c r="L9" s="13">
        <v>14</v>
      </c>
      <c r="M9" s="14">
        <f t="shared" si="1"/>
        <v>69</v>
      </c>
      <c r="O9" s="13">
        <v>15</v>
      </c>
      <c r="P9" s="13">
        <v>14</v>
      </c>
      <c r="Q9" s="13">
        <v>12</v>
      </c>
      <c r="R9" s="13">
        <v>13</v>
      </c>
      <c r="S9" s="14">
        <f t="shared" si="2"/>
        <v>54</v>
      </c>
      <c r="U9" s="13">
        <v>12</v>
      </c>
      <c r="V9" s="13">
        <v>12</v>
      </c>
      <c r="W9" s="13">
        <v>5</v>
      </c>
      <c r="X9" s="13">
        <v>3</v>
      </c>
      <c r="Y9" s="14">
        <f t="shared" si="3"/>
        <v>32</v>
      </c>
      <c r="AA9" s="13">
        <v>12</v>
      </c>
      <c r="AB9" s="13">
        <v>12</v>
      </c>
      <c r="AC9" s="13">
        <v>5</v>
      </c>
      <c r="AD9" s="13">
        <v>3</v>
      </c>
      <c r="AE9" s="14">
        <f t="shared" si="4"/>
        <v>32</v>
      </c>
      <c r="AG9" s="13">
        <v>2</v>
      </c>
      <c r="AH9" s="13">
        <v>1</v>
      </c>
      <c r="AI9" s="13">
        <v>1</v>
      </c>
      <c r="AJ9" s="13">
        <v>0</v>
      </c>
      <c r="AK9" s="14">
        <f t="shared" si="5"/>
        <v>4</v>
      </c>
      <c r="AM9" s="13"/>
      <c r="AN9" s="13"/>
      <c r="AO9" s="13"/>
      <c r="AP9" s="13"/>
      <c r="AQ9" s="14">
        <f t="shared" si="6"/>
        <v>0</v>
      </c>
      <c r="AS9" s="13"/>
      <c r="AT9" s="13"/>
      <c r="AU9" s="13"/>
      <c r="AV9" s="13"/>
      <c r="AW9" s="14">
        <f t="shared" si="7"/>
        <v>0</v>
      </c>
      <c r="AY9" s="13"/>
      <c r="AZ9" s="13"/>
      <c r="BA9" s="13"/>
      <c r="BB9" s="13"/>
      <c r="BC9" s="14">
        <f t="shared" si="8"/>
        <v>0</v>
      </c>
      <c r="BE9" s="13"/>
      <c r="BF9" s="13"/>
      <c r="BG9" s="13"/>
      <c r="BH9" s="82"/>
      <c r="BI9" s="14">
        <f t="shared" si="9"/>
        <v>0</v>
      </c>
      <c r="BK9" s="13"/>
      <c r="BL9" s="13"/>
      <c r="BM9" s="13"/>
      <c r="BN9" s="82"/>
      <c r="BO9" s="14">
        <f t="shared" si="10"/>
        <v>0</v>
      </c>
      <c r="BQ9" s="13"/>
      <c r="BR9" s="13"/>
      <c r="BS9" s="13"/>
      <c r="BT9" s="82"/>
      <c r="BU9" s="14">
        <f t="shared" si="11"/>
        <v>0</v>
      </c>
      <c r="BW9" s="13"/>
      <c r="BX9" s="13"/>
      <c r="BY9" s="13"/>
      <c r="BZ9" s="82"/>
      <c r="CA9" s="14">
        <f t="shared" si="12"/>
        <v>0</v>
      </c>
      <c r="CC9" s="13"/>
      <c r="CD9" s="13"/>
      <c r="CE9" s="13"/>
      <c r="CF9" s="82"/>
      <c r="CG9" s="14">
        <f t="shared" si="13"/>
        <v>0</v>
      </c>
      <c r="CI9" s="13"/>
      <c r="CJ9" s="13"/>
      <c r="CK9" s="13"/>
      <c r="CL9" s="82"/>
      <c r="CM9" s="14">
        <f t="shared" si="14"/>
        <v>0</v>
      </c>
    </row>
    <row r="10" spans="1:246" hidden="1">
      <c r="A10" s="4" t="s">
        <v>42</v>
      </c>
      <c r="C10" s="13">
        <v>49</v>
      </c>
      <c r="D10" s="13">
        <v>92</v>
      </c>
      <c r="E10" s="13">
        <v>65</v>
      </c>
      <c r="F10" s="13">
        <v>60</v>
      </c>
      <c r="G10" s="14">
        <f t="shared" si="0"/>
        <v>266</v>
      </c>
      <c r="H10" s="15"/>
      <c r="I10" s="13">
        <v>53</v>
      </c>
      <c r="J10" s="13">
        <v>54</v>
      </c>
      <c r="K10" s="13">
        <v>57</v>
      </c>
      <c r="L10" s="13">
        <v>59</v>
      </c>
      <c r="M10" s="14">
        <f t="shared" si="1"/>
        <v>223</v>
      </c>
      <c r="O10" s="13">
        <v>76</v>
      </c>
      <c r="P10" s="13">
        <v>67</v>
      </c>
      <c r="Q10" s="13">
        <v>87</v>
      </c>
      <c r="R10" s="13">
        <v>75</v>
      </c>
      <c r="S10" s="14">
        <f t="shared" si="2"/>
        <v>305</v>
      </c>
      <c r="U10" s="13">
        <v>32</v>
      </c>
      <c r="V10" s="13">
        <v>49</v>
      </c>
      <c r="W10" s="13">
        <v>54</v>
      </c>
      <c r="X10" s="13">
        <v>62</v>
      </c>
      <c r="Y10" s="14">
        <f t="shared" si="3"/>
        <v>197</v>
      </c>
      <c r="AA10" s="13"/>
      <c r="AB10" s="13"/>
      <c r="AC10" s="13"/>
      <c r="AD10" s="13"/>
      <c r="AE10" s="14">
        <f t="shared" si="4"/>
        <v>0</v>
      </c>
      <c r="AG10" s="13"/>
      <c r="AH10" s="13"/>
      <c r="AI10" s="13"/>
      <c r="AJ10" s="13"/>
      <c r="AK10" s="14">
        <f t="shared" si="5"/>
        <v>0</v>
      </c>
      <c r="AM10" s="13"/>
      <c r="AN10" s="13"/>
      <c r="AO10" s="13"/>
      <c r="AP10" s="13"/>
      <c r="AQ10" s="14">
        <f t="shared" si="6"/>
        <v>0</v>
      </c>
      <c r="AS10" s="13"/>
      <c r="AT10" s="13"/>
      <c r="AU10" s="13"/>
      <c r="AV10" s="13"/>
      <c r="AW10" s="14">
        <f t="shared" si="7"/>
        <v>0</v>
      </c>
      <c r="AY10" s="13"/>
      <c r="AZ10" s="13"/>
      <c r="BA10" s="13"/>
      <c r="BB10" s="13"/>
      <c r="BC10" s="14">
        <f t="shared" si="8"/>
        <v>0</v>
      </c>
      <c r="BE10" s="13"/>
      <c r="BF10" s="13"/>
      <c r="BG10" s="13"/>
      <c r="BH10" s="82"/>
      <c r="BI10" s="14">
        <f t="shared" si="9"/>
        <v>0</v>
      </c>
      <c r="BK10" s="13"/>
      <c r="BL10" s="13"/>
      <c r="BM10" s="13"/>
      <c r="BN10" s="82"/>
      <c r="BO10" s="14">
        <f t="shared" si="10"/>
        <v>0</v>
      </c>
      <c r="BQ10" s="13"/>
      <c r="BR10" s="13"/>
      <c r="BS10" s="13"/>
      <c r="BT10" s="82"/>
      <c r="BU10" s="14">
        <f t="shared" si="11"/>
        <v>0</v>
      </c>
      <c r="BW10" s="13"/>
      <c r="BX10" s="13"/>
      <c r="BY10" s="13"/>
      <c r="BZ10" s="82"/>
      <c r="CA10" s="14">
        <f t="shared" si="12"/>
        <v>0</v>
      </c>
      <c r="CC10" s="13"/>
      <c r="CD10" s="13"/>
      <c r="CE10" s="13"/>
      <c r="CF10" s="82"/>
      <c r="CG10" s="14">
        <f t="shared" si="13"/>
        <v>0</v>
      </c>
      <c r="CI10" s="13"/>
      <c r="CJ10" s="13"/>
      <c r="CK10" s="13"/>
      <c r="CL10" s="82"/>
      <c r="CM10" s="14">
        <f t="shared" si="14"/>
        <v>0</v>
      </c>
    </row>
    <row r="11" spans="1:246">
      <c r="A11" s="4" t="s">
        <v>146</v>
      </c>
      <c r="C11" s="13">
        <v>34</v>
      </c>
      <c r="D11" s="13">
        <v>46</v>
      </c>
      <c r="E11" s="13">
        <v>39</v>
      </c>
      <c r="F11" s="13">
        <v>23</v>
      </c>
      <c r="G11" s="14">
        <f t="shared" si="0"/>
        <v>142</v>
      </c>
      <c r="H11" s="15"/>
      <c r="I11" s="13">
        <v>11</v>
      </c>
      <c r="J11" s="13">
        <v>23</v>
      </c>
      <c r="K11" s="13">
        <v>23</v>
      </c>
      <c r="L11" s="13">
        <v>22</v>
      </c>
      <c r="M11" s="14">
        <f t="shared" si="1"/>
        <v>79</v>
      </c>
      <c r="O11" s="13">
        <v>17</v>
      </c>
      <c r="P11" s="13">
        <v>18</v>
      </c>
      <c r="Q11" s="13">
        <v>16</v>
      </c>
      <c r="R11" s="13">
        <v>19</v>
      </c>
      <c r="S11" s="14">
        <f t="shared" si="2"/>
        <v>70</v>
      </c>
      <c r="U11" s="13">
        <v>19</v>
      </c>
      <c r="V11" s="13">
        <v>19</v>
      </c>
      <c r="W11" s="13">
        <v>22</v>
      </c>
      <c r="X11" s="13">
        <v>21</v>
      </c>
      <c r="Y11" s="14">
        <f t="shared" si="3"/>
        <v>81</v>
      </c>
      <c r="AA11" s="13">
        <v>19</v>
      </c>
      <c r="AB11" s="13">
        <v>19</v>
      </c>
      <c r="AC11" s="13">
        <v>22</v>
      </c>
      <c r="AD11" s="13">
        <v>21</v>
      </c>
      <c r="AE11" s="14">
        <f t="shared" si="4"/>
        <v>81</v>
      </c>
      <c r="AG11" s="13">
        <v>25</v>
      </c>
      <c r="AH11" s="13">
        <v>29</v>
      </c>
      <c r="AI11" s="13">
        <v>27</v>
      </c>
      <c r="AJ11" s="13">
        <v>23</v>
      </c>
      <c r="AK11" s="14">
        <f t="shared" si="5"/>
        <v>104</v>
      </c>
      <c r="AM11" s="13">
        <v>23</v>
      </c>
      <c r="AN11" s="13">
        <v>22</v>
      </c>
      <c r="AO11" s="13">
        <v>18</v>
      </c>
      <c r="AP11" s="13">
        <v>32</v>
      </c>
      <c r="AQ11" s="14">
        <f t="shared" si="6"/>
        <v>95</v>
      </c>
      <c r="AS11" s="13">
        <v>20</v>
      </c>
      <c r="AT11" s="13">
        <v>31</v>
      </c>
      <c r="AU11" s="13">
        <v>29</v>
      </c>
      <c r="AV11" s="13">
        <v>32</v>
      </c>
      <c r="AW11" s="14">
        <f t="shared" si="7"/>
        <v>112</v>
      </c>
      <c r="AY11" s="13">
        <v>24</v>
      </c>
      <c r="AZ11" s="13">
        <v>53</v>
      </c>
      <c r="BA11" s="13">
        <v>47</v>
      </c>
      <c r="BB11" s="13">
        <f>171-124</f>
        <v>47</v>
      </c>
      <c r="BC11" s="14">
        <f t="shared" si="8"/>
        <v>171</v>
      </c>
      <c r="BE11" s="13">
        <v>46</v>
      </c>
      <c r="BF11" s="13">
        <v>37</v>
      </c>
      <c r="BG11" s="13">
        <v>35</v>
      </c>
      <c r="BH11" s="82">
        <v>42</v>
      </c>
      <c r="BI11" s="14">
        <f t="shared" si="9"/>
        <v>160</v>
      </c>
      <c r="BK11" s="13">
        <v>39</v>
      </c>
      <c r="BL11" s="13">
        <v>48</v>
      </c>
      <c r="BM11" s="13">
        <v>45</v>
      </c>
      <c r="BN11" s="82">
        <v>53</v>
      </c>
      <c r="BO11" s="14">
        <f t="shared" si="10"/>
        <v>185</v>
      </c>
      <c r="BQ11" s="13">
        <v>43</v>
      </c>
      <c r="BR11" s="13">
        <v>50</v>
      </c>
      <c r="BS11" s="13">
        <v>55</v>
      </c>
      <c r="BT11" s="82">
        <v>62</v>
      </c>
      <c r="BU11" s="14">
        <f t="shared" si="11"/>
        <v>210</v>
      </c>
      <c r="BW11" s="13">
        <v>59</v>
      </c>
      <c r="BX11" s="13">
        <v>52</v>
      </c>
      <c r="BY11" s="13">
        <v>51</v>
      </c>
      <c r="BZ11" s="82">
        <v>75</v>
      </c>
      <c r="CA11" s="14">
        <f t="shared" si="12"/>
        <v>237</v>
      </c>
      <c r="CC11" s="13">
        <v>55</v>
      </c>
      <c r="CD11" s="13">
        <v>62</v>
      </c>
      <c r="CE11" s="13">
        <v>62</v>
      </c>
      <c r="CF11" s="82">
        <v>87</v>
      </c>
      <c r="CG11" s="14">
        <f t="shared" si="13"/>
        <v>266</v>
      </c>
      <c r="CI11" s="13">
        <v>65</v>
      </c>
      <c r="CJ11" s="13">
        <v>67</v>
      </c>
      <c r="CK11" s="13">
        <v>65</v>
      </c>
      <c r="CL11" s="82">
        <v>93</v>
      </c>
      <c r="CM11" s="14">
        <f t="shared" si="14"/>
        <v>290</v>
      </c>
    </row>
    <row r="12" spans="1:246" hidden="1">
      <c r="A12" s="4" t="s">
        <v>47</v>
      </c>
      <c r="C12" s="13">
        <v>13</v>
      </c>
      <c r="D12" s="13">
        <v>16</v>
      </c>
      <c r="E12" s="13">
        <v>17</v>
      </c>
      <c r="F12" s="13">
        <v>20</v>
      </c>
      <c r="G12" s="14">
        <f t="shared" si="0"/>
        <v>66</v>
      </c>
      <c r="H12" s="15"/>
      <c r="I12" s="13">
        <v>6</v>
      </c>
      <c r="J12" s="13">
        <v>3</v>
      </c>
      <c r="K12" s="13">
        <v>3</v>
      </c>
      <c r="L12" s="13">
        <v>4</v>
      </c>
      <c r="M12" s="14">
        <f t="shared" si="1"/>
        <v>16</v>
      </c>
      <c r="O12" s="13">
        <v>3</v>
      </c>
      <c r="P12" s="13">
        <v>1</v>
      </c>
      <c r="Q12" s="13">
        <v>1</v>
      </c>
      <c r="R12" s="13">
        <v>1</v>
      </c>
      <c r="S12" s="14">
        <f t="shared" si="2"/>
        <v>6</v>
      </c>
      <c r="U12" s="13">
        <v>0</v>
      </c>
      <c r="V12" s="13">
        <v>0</v>
      </c>
      <c r="W12" s="13">
        <v>0</v>
      </c>
      <c r="X12" s="13">
        <v>0</v>
      </c>
      <c r="Y12" s="14">
        <f t="shared" si="3"/>
        <v>0</v>
      </c>
      <c r="AA12" s="13"/>
      <c r="AB12" s="13"/>
      <c r="AC12" s="13"/>
      <c r="AD12" s="13"/>
      <c r="AE12" s="14">
        <f t="shared" si="4"/>
        <v>0</v>
      </c>
      <c r="AG12" s="13"/>
      <c r="AH12" s="13"/>
      <c r="AI12" s="13"/>
      <c r="AJ12" s="13"/>
      <c r="AK12" s="14">
        <f t="shared" si="5"/>
        <v>0</v>
      </c>
      <c r="AM12" s="13"/>
      <c r="AN12" s="13"/>
      <c r="AO12" s="13"/>
      <c r="AP12" s="13"/>
      <c r="AQ12" s="14">
        <f t="shared" si="6"/>
        <v>0</v>
      </c>
      <c r="AS12" s="13"/>
      <c r="AT12" s="13"/>
      <c r="AU12" s="13"/>
      <c r="AV12" s="13"/>
      <c r="AW12" s="14">
        <f t="shared" si="7"/>
        <v>0</v>
      </c>
      <c r="AY12" s="13"/>
      <c r="AZ12" s="13"/>
      <c r="BA12" s="13"/>
      <c r="BB12" s="13"/>
      <c r="BC12" s="14">
        <f t="shared" si="8"/>
        <v>0</v>
      </c>
      <c r="BE12" s="13"/>
      <c r="BF12" s="13"/>
      <c r="BG12" s="13"/>
      <c r="BH12" s="82"/>
      <c r="BI12" s="14">
        <f t="shared" si="9"/>
        <v>0</v>
      </c>
      <c r="BK12" s="13"/>
      <c r="BL12" s="13"/>
      <c r="BM12" s="13"/>
      <c r="BN12" s="82"/>
      <c r="BO12" s="14">
        <f t="shared" si="10"/>
        <v>0</v>
      </c>
      <c r="BQ12" s="13"/>
      <c r="BR12" s="13"/>
      <c r="BS12" s="13"/>
      <c r="BT12" s="82"/>
      <c r="BU12" s="14">
        <f t="shared" si="11"/>
        <v>0</v>
      </c>
      <c r="BW12" s="13"/>
      <c r="BX12" s="13"/>
      <c r="BY12" s="13"/>
      <c r="BZ12" s="82"/>
      <c r="CA12" s="14">
        <f t="shared" si="12"/>
        <v>0</v>
      </c>
      <c r="CC12" s="13"/>
      <c r="CD12" s="13"/>
      <c r="CE12" s="13"/>
      <c r="CF12" s="82"/>
      <c r="CG12" s="14">
        <f t="shared" si="13"/>
        <v>0</v>
      </c>
      <c r="CI12" s="13"/>
      <c r="CJ12" s="13"/>
      <c r="CK12" s="13"/>
      <c r="CL12" s="82"/>
      <c r="CM12" s="14">
        <f t="shared" si="14"/>
        <v>0</v>
      </c>
    </row>
    <row r="13" spans="1:246">
      <c r="A13" s="4" t="s">
        <v>111</v>
      </c>
      <c r="C13" s="13">
        <v>-20</v>
      </c>
      <c r="D13" s="13">
        <v>-18</v>
      </c>
      <c r="E13" s="13">
        <v>-17</v>
      </c>
      <c r="F13" s="13">
        <v>-14</v>
      </c>
      <c r="G13" s="14">
        <f t="shared" si="0"/>
        <v>-69</v>
      </c>
      <c r="H13" s="15"/>
      <c r="I13" s="13">
        <v>-11</v>
      </c>
      <c r="J13" s="13">
        <v>-18</v>
      </c>
      <c r="K13" s="13">
        <v>-12</v>
      </c>
      <c r="L13" s="13">
        <v>-10</v>
      </c>
      <c r="M13" s="14">
        <f t="shared" si="1"/>
        <v>-51</v>
      </c>
      <c r="O13" s="13">
        <v>-9</v>
      </c>
      <c r="P13" s="13">
        <v>-7</v>
      </c>
      <c r="Q13" s="13">
        <v>-8</v>
      </c>
      <c r="R13" s="13">
        <v>-6</v>
      </c>
      <c r="S13" s="14">
        <f t="shared" si="2"/>
        <v>-30</v>
      </c>
      <c r="U13" s="13">
        <v>-8</v>
      </c>
      <c r="V13" s="13">
        <v>-7</v>
      </c>
      <c r="W13" s="13">
        <v>-4</v>
      </c>
      <c r="X13" s="13">
        <v>-1</v>
      </c>
      <c r="Y13" s="14">
        <f t="shared" si="3"/>
        <v>-20</v>
      </c>
      <c r="AA13" s="13">
        <v>-8</v>
      </c>
      <c r="AB13" s="13">
        <v>-7</v>
      </c>
      <c r="AC13" s="13">
        <v>-4</v>
      </c>
      <c r="AD13" s="13">
        <v>-1</v>
      </c>
      <c r="AE13" s="14">
        <f t="shared" si="4"/>
        <v>-20</v>
      </c>
      <c r="AG13" s="13"/>
      <c r="AH13" s="13">
        <v>-2</v>
      </c>
      <c r="AI13" s="13">
        <v>2</v>
      </c>
      <c r="AJ13" s="13">
        <v>0</v>
      </c>
      <c r="AK13" s="14">
        <f t="shared" si="5"/>
        <v>0</v>
      </c>
      <c r="AM13" s="13">
        <v>3</v>
      </c>
      <c r="AN13" s="13">
        <v>4</v>
      </c>
      <c r="AO13" s="13">
        <v>3</v>
      </c>
      <c r="AP13" s="13">
        <v>3</v>
      </c>
      <c r="AQ13" s="14">
        <f t="shared" si="6"/>
        <v>13</v>
      </c>
      <c r="AS13" s="13">
        <v>4</v>
      </c>
      <c r="AT13" s="13">
        <v>3</v>
      </c>
      <c r="AU13" s="13">
        <v>3</v>
      </c>
      <c r="AV13" s="13">
        <v>-5</v>
      </c>
      <c r="AW13" s="14">
        <f t="shared" si="7"/>
        <v>5</v>
      </c>
      <c r="AY13" s="13">
        <v>3</v>
      </c>
      <c r="AZ13" s="13">
        <v>2</v>
      </c>
      <c r="BA13" s="13">
        <v>4</v>
      </c>
      <c r="BB13" s="13">
        <v>0</v>
      </c>
      <c r="BC13" s="14">
        <f t="shared" si="8"/>
        <v>9</v>
      </c>
      <c r="BE13" s="13">
        <v>1</v>
      </c>
      <c r="BF13" s="13">
        <v>2</v>
      </c>
      <c r="BG13" s="13">
        <v>1</v>
      </c>
      <c r="BH13" s="82">
        <v>2</v>
      </c>
      <c r="BI13" s="14">
        <f t="shared" si="9"/>
        <v>6</v>
      </c>
      <c r="BK13" s="13">
        <v>1</v>
      </c>
      <c r="BL13" s="13">
        <v>-1</v>
      </c>
      <c r="BM13" s="13">
        <v>0</v>
      </c>
      <c r="BN13" s="82">
        <v>-1</v>
      </c>
      <c r="BO13" s="14">
        <f t="shared" si="10"/>
        <v>-1</v>
      </c>
      <c r="BQ13" s="13">
        <v>0</v>
      </c>
      <c r="BR13" s="13">
        <v>-1</v>
      </c>
      <c r="BS13" s="13">
        <v>0</v>
      </c>
      <c r="BT13" s="82">
        <v>0</v>
      </c>
      <c r="BU13" s="14">
        <f t="shared" si="11"/>
        <v>-1</v>
      </c>
      <c r="BW13" s="13">
        <v>-1</v>
      </c>
      <c r="BX13" s="13">
        <v>0</v>
      </c>
      <c r="BY13" s="13">
        <v>1</v>
      </c>
      <c r="BZ13" s="82">
        <v>-1</v>
      </c>
      <c r="CA13" s="14">
        <f t="shared" si="12"/>
        <v>-1</v>
      </c>
      <c r="CC13" s="13">
        <v>0</v>
      </c>
      <c r="CD13" s="13">
        <v>-2</v>
      </c>
      <c r="CE13" s="13">
        <v>3</v>
      </c>
      <c r="CF13" s="82">
        <v>-2</v>
      </c>
      <c r="CG13" s="14">
        <f t="shared" si="13"/>
        <v>-1</v>
      </c>
      <c r="CI13" s="13">
        <v>-1</v>
      </c>
      <c r="CJ13" s="13">
        <v>1</v>
      </c>
      <c r="CK13" s="13">
        <v>0</v>
      </c>
      <c r="CL13" s="82">
        <v>-1</v>
      </c>
      <c r="CM13" s="14">
        <f t="shared" si="14"/>
        <v>-1</v>
      </c>
    </row>
    <row r="14" spans="1:246" s="11" customFormat="1" ht="18.75" customHeight="1">
      <c r="B14" s="6"/>
      <c r="C14" s="16">
        <f>SUM(C5:C13)</f>
        <v>1538</v>
      </c>
      <c r="D14" s="16">
        <f>SUM(D5:D13)</f>
        <v>1682</v>
      </c>
      <c r="E14" s="16">
        <f>SUM(E5:E13)</f>
        <v>1621</v>
      </c>
      <c r="F14" s="16">
        <f>SUM(F5:F13)</f>
        <v>1585</v>
      </c>
      <c r="G14" s="17">
        <f>SUM(G5:G13)</f>
        <v>6426</v>
      </c>
      <c r="H14" s="15"/>
      <c r="I14" s="16">
        <f>SUM(I5:I13)</f>
        <v>1351</v>
      </c>
      <c r="J14" s="16">
        <f>SUM(J5:J13)</f>
        <v>1530</v>
      </c>
      <c r="K14" s="16">
        <f>SUM(K5:K13)</f>
        <v>1520</v>
      </c>
      <c r="L14" s="16">
        <f>SUM(L5:L13)</f>
        <v>1488</v>
      </c>
      <c r="M14" s="17">
        <f>SUM(M5:M13)</f>
        <v>5889</v>
      </c>
      <c r="O14" s="16">
        <f>SUM(O5:O13)</f>
        <v>1334</v>
      </c>
      <c r="P14" s="16">
        <f>SUM(P5:P13)</f>
        <v>1468</v>
      </c>
      <c r="Q14" s="16">
        <f>SUM(Q5:Q13)</f>
        <v>1532</v>
      </c>
      <c r="R14" s="16">
        <f>SUM(R5:R13)</f>
        <v>1490</v>
      </c>
      <c r="S14" s="17">
        <f>SUM(S5:S13)</f>
        <v>5824</v>
      </c>
      <c r="U14" s="16">
        <f>SUM(U5:U13)</f>
        <v>1430</v>
      </c>
      <c r="V14" s="16">
        <f>SUM(V5:V13)</f>
        <v>2000</v>
      </c>
      <c r="W14" s="16">
        <f>SUM(W5:W13)</f>
        <v>2136</v>
      </c>
      <c r="X14" s="16">
        <f>SUM(X5:X13)</f>
        <v>2159</v>
      </c>
      <c r="Y14" s="17">
        <f>SUM(Y5:Y13)</f>
        <v>7725</v>
      </c>
      <c r="AA14" s="16">
        <f>SUM(AA5:AA13)</f>
        <v>1304</v>
      </c>
      <c r="AB14" s="16">
        <f>SUM(AB5:AB13)</f>
        <v>1855</v>
      </c>
      <c r="AC14" s="16">
        <f>SUM(AC5:AC13)</f>
        <v>1977</v>
      </c>
      <c r="AD14" s="16">
        <f>SUM(AD5:AD13)</f>
        <v>2002</v>
      </c>
      <c r="AE14" s="17">
        <f>SUM(AE5:AE13)</f>
        <v>7138</v>
      </c>
      <c r="AG14" s="16">
        <f>SUM(AG5:AG13)</f>
        <v>1866</v>
      </c>
      <c r="AH14" s="16">
        <f>SUM(AH5:AH13)</f>
        <v>2292</v>
      </c>
      <c r="AI14" s="16">
        <f>SUM(AI5:AI13)</f>
        <v>2231</v>
      </c>
      <c r="AJ14" s="16">
        <f>SUM(AJ5:AJ13)</f>
        <v>2361</v>
      </c>
      <c r="AK14" s="17">
        <f>SUM(AK5:AK13)</f>
        <v>8750</v>
      </c>
      <c r="AM14" s="16">
        <f>SUM(AM5:AM13)</f>
        <v>2412</v>
      </c>
      <c r="AN14" s="16">
        <f>SUM(AN5:AN13)</f>
        <v>2837</v>
      </c>
      <c r="AO14" s="16">
        <f>SUM(AO5:AO13)</f>
        <v>2703</v>
      </c>
      <c r="AP14" s="16">
        <f>SUM(AP5:AP13)</f>
        <v>2863</v>
      </c>
      <c r="AQ14" s="17">
        <f>SUM(AQ5:AQ13)</f>
        <v>10815</v>
      </c>
      <c r="AS14" s="16">
        <f>SUM(AS5:AS13)</f>
        <v>3130</v>
      </c>
      <c r="AT14" s="16">
        <f>SUM(AT5:AT13)</f>
        <v>3612</v>
      </c>
      <c r="AU14" s="16">
        <f>SUM(AU5:AU13)</f>
        <v>3356</v>
      </c>
      <c r="AV14" s="16">
        <f>SUM(AV5:AV13)</f>
        <v>3427</v>
      </c>
      <c r="AW14" s="17">
        <f>SUM(AW5:AW13)</f>
        <v>13525</v>
      </c>
      <c r="AY14" s="16">
        <f>SUM(AY5:AY13)</f>
        <v>3366</v>
      </c>
      <c r="AZ14" s="16">
        <f>SUM(AZ5:AZ13)</f>
        <v>3789</v>
      </c>
      <c r="BA14" s="16">
        <f>SUM(BA5:BA13)</f>
        <v>3528</v>
      </c>
      <c r="BB14" s="16">
        <f>SUM(BB5:BB13)</f>
        <v>3145</v>
      </c>
      <c r="BC14" s="17">
        <f>SUM(BC5:BC13)</f>
        <v>13828</v>
      </c>
      <c r="BE14" s="16">
        <f>SUM(BE5:BE13)</f>
        <v>2635</v>
      </c>
      <c r="BF14" s="16">
        <f>SUM(BF5:BF13)</f>
        <v>3144</v>
      </c>
      <c r="BG14" s="16">
        <f>SUM(BG5:BG13)</f>
        <v>2981</v>
      </c>
      <c r="BH14" s="16">
        <f>SUM(BH5:BH13)</f>
        <v>2927</v>
      </c>
      <c r="BI14" s="17">
        <f>SUM(BI5:BI13)</f>
        <v>11687</v>
      </c>
      <c r="BK14" s="16">
        <f>SUM(BK5:BK13)</f>
        <v>3062</v>
      </c>
      <c r="BL14" s="16">
        <f>SUM(BL5:BL13)</f>
        <v>3635</v>
      </c>
      <c r="BM14" s="16">
        <f>SUM(BM5:BM13)</f>
        <v>3725</v>
      </c>
      <c r="BN14" s="16">
        <f>SUM(BN5:BN13)</f>
        <v>4029</v>
      </c>
      <c r="BO14" s="17">
        <f>SUM(BO5:BO13)</f>
        <v>14451</v>
      </c>
      <c r="BQ14" s="16">
        <f>SUM(BQ5:BQ13)</f>
        <v>3774</v>
      </c>
      <c r="BR14" s="16">
        <f>SUM(BR5:BR13)</f>
        <v>4016</v>
      </c>
      <c r="BS14" s="16">
        <f>SUM(BS5:BS13)</f>
        <v>3912</v>
      </c>
      <c r="BT14" s="16">
        <f>SUM(BT5:BT13)</f>
        <v>3902</v>
      </c>
      <c r="BU14" s="17">
        <f>SUM(BU5:BU13)</f>
        <v>15604</v>
      </c>
      <c r="BW14" s="16">
        <f>SUM(BW5:BW13)</f>
        <v>3531</v>
      </c>
      <c r="BX14" s="16">
        <f>SUM(BX5:BX13)</f>
        <v>3904</v>
      </c>
      <c r="BY14" s="16">
        <f>SUM(BY5:BY13)</f>
        <v>3816</v>
      </c>
      <c r="BZ14" s="16">
        <f>SUM(BZ5:BZ13)</f>
        <v>4002</v>
      </c>
      <c r="CA14" s="17">
        <f>SUM(CA5:CA13)</f>
        <v>15253</v>
      </c>
      <c r="CC14" s="16">
        <f>SUM(CC5:CC13)</f>
        <v>3509</v>
      </c>
      <c r="CD14" s="16">
        <f>SUM(CD5:CD13)</f>
        <v>4038</v>
      </c>
      <c r="CE14" s="16">
        <f>SUM(CE5:CE13)</f>
        <v>4077</v>
      </c>
      <c r="CF14" s="16">
        <f>SUM(CF5:CF13)</f>
        <v>4185</v>
      </c>
      <c r="CG14" s="17">
        <f>SUM(CG5:CG13)</f>
        <v>15809</v>
      </c>
      <c r="CI14" s="16">
        <f>SUM(CI5:CI13)</f>
        <v>3865</v>
      </c>
      <c r="CJ14" s="16">
        <f>SUM(CJ5:CJ13)</f>
        <v>4028</v>
      </c>
      <c r="CK14" s="16">
        <f>SUM(CK5:CK13)</f>
        <v>3946</v>
      </c>
      <c r="CL14" s="16">
        <f>SUM(CL5:CL13)</f>
        <v>4024</v>
      </c>
      <c r="CM14" s="17">
        <f>SUM(CM5:CM13)</f>
        <v>15863</v>
      </c>
      <c r="IL14" s="12"/>
    </row>
    <row r="15" spans="1:246" s="11" customFormat="1" ht="8.4499999999999993" customHeight="1">
      <c r="B15" s="6"/>
      <c r="C15" s="46"/>
      <c r="D15" s="46"/>
      <c r="E15" s="46"/>
      <c r="F15" s="46"/>
      <c r="G15" s="58"/>
      <c r="H15" s="15"/>
      <c r="I15" s="46"/>
      <c r="J15" s="46"/>
      <c r="K15" s="46"/>
      <c r="L15" s="46"/>
      <c r="M15" s="58"/>
      <c r="O15" s="46"/>
      <c r="P15" s="46"/>
      <c r="Q15" s="46"/>
      <c r="R15" s="46"/>
      <c r="S15" s="58"/>
      <c r="U15" s="46"/>
      <c r="V15" s="46"/>
      <c r="W15" s="46"/>
      <c r="X15" s="46"/>
      <c r="Y15" s="58"/>
      <c r="AA15" s="46"/>
      <c r="AB15" s="46"/>
      <c r="AC15" s="46"/>
      <c r="AD15" s="46"/>
      <c r="AE15" s="58"/>
      <c r="AG15" s="46"/>
      <c r="AH15" s="46"/>
      <c r="AI15" s="46"/>
      <c r="AJ15" s="46"/>
      <c r="AK15" s="58"/>
      <c r="AM15" s="46"/>
      <c r="AN15" s="46"/>
      <c r="AO15" s="46"/>
      <c r="AP15" s="46"/>
      <c r="AQ15" s="58"/>
      <c r="AS15" s="46"/>
      <c r="AT15" s="46"/>
      <c r="AU15" s="46"/>
      <c r="AV15" s="46"/>
      <c r="AW15" s="58"/>
      <c r="AY15" s="46"/>
      <c r="AZ15" s="46"/>
      <c r="BA15" s="46"/>
      <c r="BB15" s="46"/>
      <c r="BC15" s="58"/>
      <c r="BE15" s="46"/>
      <c r="BF15" s="46"/>
      <c r="BG15" s="46"/>
      <c r="BH15" s="46"/>
      <c r="BI15" s="58"/>
      <c r="BK15" s="46"/>
      <c r="BL15" s="46"/>
      <c r="BM15" s="46"/>
      <c r="BN15" s="46"/>
      <c r="BO15" s="58"/>
      <c r="BQ15" s="46"/>
      <c r="BR15" s="46"/>
      <c r="BS15" s="46"/>
      <c r="BT15" s="46"/>
      <c r="BU15" s="58"/>
      <c r="BW15" s="46"/>
      <c r="BX15" s="46"/>
      <c r="BY15" s="46"/>
      <c r="BZ15" s="46"/>
      <c r="CA15" s="58"/>
      <c r="CC15" s="46"/>
      <c r="CD15" s="46"/>
      <c r="CE15" s="46"/>
      <c r="CF15" s="46"/>
      <c r="CG15" s="58"/>
      <c r="CI15" s="46"/>
      <c r="CJ15" s="46"/>
      <c r="CK15" s="46"/>
      <c r="CL15" s="46"/>
      <c r="CM15" s="58"/>
      <c r="IL15" s="35"/>
    </row>
    <row r="16" spans="1:246" s="11" customFormat="1" ht="11.1" customHeight="1">
      <c r="A16" s="4" t="s">
        <v>147</v>
      </c>
      <c r="B16" s="6"/>
      <c r="C16" s="46"/>
      <c r="D16" s="46"/>
      <c r="E16" s="46"/>
      <c r="F16" s="46"/>
      <c r="G16" s="58"/>
      <c r="H16" s="15"/>
      <c r="I16" s="46"/>
      <c r="J16" s="46"/>
      <c r="K16" s="46"/>
      <c r="L16" s="46"/>
      <c r="M16" s="58"/>
      <c r="O16" s="47">
        <f>14+550</f>
        <v>564</v>
      </c>
      <c r="P16" s="47">
        <v>696</v>
      </c>
      <c r="Q16" s="47">
        <v>770</v>
      </c>
      <c r="R16" s="47">
        <v>704</v>
      </c>
      <c r="S16" s="59">
        <f>SUM(O16:R16)</f>
        <v>2734</v>
      </c>
      <c r="U16" s="46" t="s">
        <v>78</v>
      </c>
      <c r="V16" s="46" t="s">
        <v>78</v>
      </c>
      <c r="W16" s="46" t="s">
        <v>78</v>
      </c>
      <c r="X16" s="46" t="s">
        <v>78</v>
      </c>
      <c r="Y16" s="14" t="s">
        <v>78</v>
      </c>
      <c r="AA16" s="47">
        <f>13+614</f>
        <v>627</v>
      </c>
      <c r="AB16" s="47">
        <f>20+714</f>
        <v>734</v>
      </c>
      <c r="AC16" s="47">
        <f>22+801</f>
        <v>823</v>
      </c>
      <c r="AD16" s="47">
        <f>11+797</f>
        <v>808</v>
      </c>
      <c r="AE16" s="59">
        <f>SUM(AA16:AD16)</f>
        <v>2992</v>
      </c>
      <c r="AF16" s="4"/>
      <c r="AG16" s="47">
        <f>8+559</f>
        <v>567</v>
      </c>
      <c r="AH16" s="47">
        <f>8+734</f>
        <v>742</v>
      </c>
      <c r="AI16" s="47">
        <f>19+781</f>
        <v>800</v>
      </c>
      <c r="AJ16" s="47">
        <f>18+832</f>
        <v>850</v>
      </c>
      <c r="AK16" s="59">
        <f>SUM(AG16:AJ16)</f>
        <v>2959</v>
      </c>
      <c r="AL16" s="4"/>
      <c r="AM16" s="47">
        <f>18+752</f>
        <v>770</v>
      </c>
      <c r="AN16" s="47">
        <f>18+876</f>
        <v>894</v>
      </c>
      <c r="AO16" s="47">
        <f>25+840</f>
        <v>865</v>
      </c>
      <c r="AP16" s="47">
        <f>31+893</f>
        <v>924</v>
      </c>
      <c r="AQ16" s="59">
        <f>SUM(AM16:AP16)</f>
        <v>3453</v>
      </c>
      <c r="AR16" s="4"/>
      <c r="AS16" s="47">
        <f>26+1057</f>
        <v>1083</v>
      </c>
      <c r="AT16" s="47">
        <f>20+1285</f>
        <v>1305</v>
      </c>
      <c r="AU16" s="47">
        <f>33+1207</f>
        <v>1240</v>
      </c>
      <c r="AV16" s="47">
        <f>1247+22</f>
        <v>1269</v>
      </c>
      <c r="AW16" s="59">
        <f>SUM(AS16:AV16)</f>
        <v>4897</v>
      </c>
      <c r="AY16" s="47">
        <v>1189</v>
      </c>
      <c r="AZ16" s="54">
        <v>1389</v>
      </c>
      <c r="BA16" s="71">
        <v>1337</v>
      </c>
      <c r="BB16" s="47">
        <v>1296</v>
      </c>
      <c r="BC16" s="14">
        <f>SUM(AY16:BB16)</f>
        <v>5211</v>
      </c>
      <c r="BE16" s="47">
        <v>978</v>
      </c>
      <c r="BF16" s="54">
        <v>1328</v>
      </c>
      <c r="BG16" s="71">
        <v>1185</v>
      </c>
      <c r="BH16" s="87">
        <v>1155</v>
      </c>
      <c r="BI16" s="14">
        <f>SUM(BE16:BH16)</f>
        <v>4646</v>
      </c>
      <c r="BK16" s="47">
        <v>1036</v>
      </c>
      <c r="BL16" s="54">
        <v>1374</v>
      </c>
      <c r="BM16" s="71">
        <v>1526</v>
      </c>
      <c r="BN16" s="87">
        <v>1611</v>
      </c>
      <c r="BO16" s="14">
        <f>SUM(BK16:BN16)</f>
        <v>5547</v>
      </c>
      <c r="BQ16" s="47">
        <v>1268</v>
      </c>
      <c r="BR16" s="54">
        <v>1377</v>
      </c>
      <c r="BS16" s="71">
        <v>1471</v>
      </c>
      <c r="BT16" s="87">
        <v>1519</v>
      </c>
      <c r="BU16" s="14">
        <f>SUM(BQ16:BT16)</f>
        <v>5635</v>
      </c>
      <c r="BW16" s="47">
        <v>1112</v>
      </c>
      <c r="BX16" s="54">
        <v>1334</v>
      </c>
      <c r="BY16" s="71">
        <v>1467</v>
      </c>
      <c r="BZ16" s="87">
        <v>1508</v>
      </c>
      <c r="CA16" s="14">
        <f>SUM(BW16:BZ16)</f>
        <v>5421</v>
      </c>
      <c r="CC16" s="47">
        <v>1149</v>
      </c>
      <c r="CD16" s="54">
        <v>1463</v>
      </c>
      <c r="CE16" s="71">
        <v>1661</v>
      </c>
      <c r="CF16" s="87">
        <v>1744</v>
      </c>
      <c r="CG16" s="14">
        <f>SUM(CC16:CF16)</f>
        <v>6017</v>
      </c>
      <c r="CI16" s="47">
        <v>1378</v>
      </c>
      <c r="CJ16" s="54">
        <v>1506</v>
      </c>
      <c r="CK16" s="71">
        <v>1657</v>
      </c>
      <c r="CL16" s="87">
        <v>1514</v>
      </c>
      <c r="CM16" s="14">
        <f>SUM(CI16:CL16)</f>
        <v>6055</v>
      </c>
      <c r="IL16" s="35"/>
    </row>
    <row r="17" spans="1:251" s="6" customFormat="1" ht="18.75" customHeight="1">
      <c r="A17" s="6" t="s">
        <v>199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O17" s="60">
        <f>+O14-O7+O16</f>
        <v>1339</v>
      </c>
      <c r="P17" s="60">
        <f>+P14-P7+P16</f>
        <v>1476</v>
      </c>
      <c r="Q17" s="60">
        <f>+Q14-Q7+Q16</f>
        <v>1535</v>
      </c>
      <c r="R17" s="60">
        <f>+R14-R7+R16</f>
        <v>1490</v>
      </c>
      <c r="S17" s="60">
        <f>+S14-S7+S16</f>
        <v>5840</v>
      </c>
      <c r="U17" s="15"/>
      <c r="V17" s="15"/>
      <c r="W17" s="15"/>
      <c r="X17" s="15"/>
      <c r="Y17" s="15"/>
      <c r="AA17" s="60">
        <f>+AA14-AA7+AA16</f>
        <v>1353</v>
      </c>
      <c r="AB17" s="60">
        <f>+AB14-AB7+AB16</f>
        <v>1861</v>
      </c>
      <c r="AC17" s="60">
        <f>+AC14-AC7+AC16</f>
        <v>1993</v>
      </c>
      <c r="AD17" s="60">
        <f>+AD14-AD7+AD16</f>
        <v>1989</v>
      </c>
      <c r="AE17" s="60">
        <f>+AE14-AE7+AE16</f>
        <v>7196</v>
      </c>
      <c r="AF17" s="61"/>
      <c r="AG17" s="60">
        <f>+AG14-AG7+AG16</f>
        <v>1789</v>
      </c>
      <c r="AH17" s="60">
        <f>+AH14-AH7+AH16</f>
        <v>2164</v>
      </c>
      <c r="AI17" s="60">
        <f>+AI14-AI7+AI16</f>
        <v>2077</v>
      </c>
      <c r="AJ17" s="60">
        <f>+AJ14-AJ7+AJ16</f>
        <v>2150</v>
      </c>
      <c r="AK17" s="60">
        <f>+AK14-AK7+AK16</f>
        <v>8180</v>
      </c>
      <c r="AL17" s="61"/>
      <c r="AM17" s="60">
        <f>+AM14-AM7+AM16</f>
        <v>2149</v>
      </c>
      <c r="AN17" s="60">
        <f>+AN14-AN7+AN16</f>
        <v>2358</v>
      </c>
      <c r="AO17" s="60">
        <f>+AO14-AO7+AO16</f>
        <v>2178</v>
      </c>
      <c r="AP17" s="60">
        <f>+AP14-AP7+AP16</f>
        <v>2315</v>
      </c>
      <c r="AQ17" s="60">
        <f>+AQ14-AQ7+AQ16</f>
        <v>9000</v>
      </c>
      <c r="AR17" s="61"/>
      <c r="AS17" s="60">
        <f>+AS14-AS7+AS16</f>
        <v>2539</v>
      </c>
      <c r="AT17" s="60">
        <f>+AT14-AT7+AT16</f>
        <v>2869</v>
      </c>
      <c r="AU17" s="60">
        <f>+AU14-AU7+AU16</f>
        <v>2619</v>
      </c>
      <c r="AV17" s="60">
        <f>+AV14-AV7+AV16</f>
        <v>2771</v>
      </c>
      <c r="AW17" s="60">
        <f>+AW14-AW7+AW16</f>
        <v>10798</v>
      </c>
      <c r="AY17" s="60">
        <f>+AY14-AY7+AY16</f>
        <v>2699</v>
      </c>
      <c r="AZ17" s="60">
        <f>+AZ14-AZ7+AZ16</f>
        <v>3081</v>
      </c>
      <c r="BA17" s="60">
        <f>+BA14-BA7+BA16</f>
        <v>2814</v>
      </c>
      <c r="BB17" s="60">
        <f>+BB14-BB7+BB16</f>
        <v>2679</v>
      </c>
      <c r="BC17" s="60">
        <f>+AY17+AZ17+BA17+BB17</f>
        <v>11273</v>
      </c>
      <c r="BE17" s="60">
        <f>+BE14-BE7+BE16</f>
        <v>2343</v>
      </c>
      <c r="BF17" s="60">
        <f>+BF14-BF7+BF16</f>
        <v>2691</v>
      </c>
      <c r="BG17" s="60">
        <f>+BG14-BG7+BG16</f>
        <v>2463</v>
      </c>
      <c r="BH17" s="88">
        <f>+BH14-BH7+BH16</f>
        <v>2453</v>
      </c>
      <c r="BI17" s="60">
        <f>+BE17+BF17+BG17+BH17</f>
        <v>9950</v>
      </c>
      <c r="BK17" s="60">
        <f>+BK14-BK7+BK16</f>
        <v>2494</v>
      </c>
      <c r="BL17" s="60">
        <f>+BL14-BL7+BL16</f>
        <v>2953</v>
      </c>
      <c r="BM17" s="60">
        <f>+BM14-BM7+BM16</f>
        <v>2943</v>
      </c>
      <c r="BN17" s="88">
        <f>+BN14-BN7+BN16</f>
        <v>3088</v>
      </c>
      <c r="BO17" s="60">
        <f>+BK17+BL17+BM17+BN17</f>
        <v>11478</v>
      </c>
      <c r="BQ17" s="60">
        <f>+BQ14-BQ7+BQ16</f>
        <v>2863</v>
      </c>
      <c r="BR17" s="60">
        <f>+BR14-BR7+BR16</f>
        <v>3077</v>
      </c>
      <c r="BS17" s="60">
        <f>+BS14-BS7+BS16</f>
        <v>3027</v>
      </c>
      <c r="BT17" s="88">
        <f>+BT14-BT7+BT16</f>
        <v>3184</v>
      </c>
      <c r="BU17" s="60">
        <f>+BQ17+BR17+BS17+BT17</f>
        <v>12151</v>
      </c>
      <c r="BW17" s="60">
        <f>+BW14-BW7+BW16</f>
        <v>2806</v>
      </c>
      <c r="BX17" s="60">
        <f>+BX14-BX7+BX16</f>
        <v>3079</v>
      </c>
      <c r="BY17" s="60">
        <f>+BY14-BY7+BY16</f>
        <v>3036</v>
      </c>
      <c r="BZ17" s="88">
        <f>+BZ14-BZ7+BZ16</f>
        <v>3227</v>
      </c>
      <c r="CA17" s="60">
        <f>+BW17+BX17+BY17+BZ17</f>
        <v>12148</v>
      </c>
      <c r="CC17" s="60">
        <f>+CC14-CC7+CC16</f>
        <v>2859</v>
      </c>
      <c r="CD17" s="60">
        <f>+CD14-CD7+CD16</f>
        <v>3264</v>
      </c>
      <c r="CE17" s="60">
        <f>+CE14-CE7+CE16</f>
        <v>3282</v>
      </c>
      <c r="CF17" s="60">
        <f>+CF14-CF7+CF16</f>
        <v>3438</v>
      </c>
      <c r="CG17" s="60">
        <f>+CC17+CD17+CE17+CF17</f>
        <v>12843</v>
      </c>
      <c r="CI17" s="60">
        <f>+CI14-CI7+CI16</f>
        <v>3179</v>
      </c>
      <c r="CJ17" s="60">
        <f>+CJ14-CJ7+CJ16</f>
        <v>3337</v>
      </c>
      <c r="CK17" s="60">
        <f>+CK14-CK7+CK16</f>
        <v>3281</v>
      </c>
      <c r="CL17" s="60">
        <f>+CL14-CL7+CL16</f>
        <v>3383</v>
      </c>
      <c r="CM17" s="60">
        <f>+CI17+CJ17+CK17+CL17</f>
        <v>13180</v>
      </c>
      <c r="IL17" s="3"/>
      <c r="IQ17" s="15" t="s">
        <v>78</v>
      </c>
    </row>
    <row r="18" spans="1:251" s="6" customFormat="1" ht="18.75" customHeight="1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O18" s="15"/>
      <c r="P18" s="15"/>
      <c r="Q18" s="15"/>
      <c r="R18" s="15"/>
      <c r="S18" s="15"/>
      <c r="U18" s="15"/>
      <c r="V18" s="15"/>
      <c r="W18" s="15"/>
      <c r="X18" s="15"/>
      <c r="Y18" s="15"/>
      <c r="AA18" s="15"/>
      <c r="AB18" s="15"/>
      <c r="AC18" s="15"/>
      <c r="AD18" s="15"/>
      <c r="AE18" s="15"/>
      <c r="AG18" s="15"/>
      <c r="AH18" s="15"/>
      <c r="AI18" s="15"/>
      <c r="AJ18" s="15"/>
      <c r="AK18" s="15"/>
      <c r="AM18" s="15"/>
      <c r="AN18" s="15"/>
      <c r="AO18" s="15"/>
      <c r="AP18" s="15"/>
      <c r="AQ18" s="15"/>
      <c r="AS18" s="15"/>
      <c r="AT18" s="15"/>
      <c r="AU18" s="15"/>
      <c r="AV18" s="15"/>
      <c r="AW18" s="15"/>
      <c r="AY18" s="15"/>
      <c r="AZ18" s="15"/>
      <c r="BA18" s="15"/>
      <c r="BB18" s="15"/>
      <c r="BC18" s="15"/>
      <c r="BE18" s="15"/>
      <c r="BF18" s="15"/>
      <c r="BG18" s="15"/>
      <c r="BH18" s="95"/>
      <c r="BI18" s="15"/>
      <c r="BK18" s="15"/>
      <c r="BL18" s="15"/>
      <c r="BM18" s="15"/>
      <c r="BN18" s="95"/>
      <c r="BO18" s="15"/>
      <c r="BQ18" s="15"/>
      <c r="BR18" s="15"/>
      <c r="BS18" s="15"/>
      <c r="BT18" s="95"/>
      <c r="BU18" s="15"/>
      <c r="BW18" s="15"/>
      <c r="BX18" s="15"/>
      <c r="BY18" s="15"/>
      <c r="BZ18" s="95"/>
      <c r="CA18" s="15"/>
      <c r="CC18" s="15"/>
      <c r="CD18" s="15"/>
      <c r="CE18" s="15"/>
      <c r="CF18" s="95"/>
      <c r="CG18" s="15"/>
      <c r="CI18" s="15"/>
      <c r="CJ18" s="15"/>
      <c r="CK18" s="15"/>
      <c r="CL18" s="95"/>
      <c r="CM18" s="15"/>
      <c r="IL18" s="3"/>
    </row>
    <row r="19" spans="1:251">
      <c r="A19" s="10" t="s">
        <v>206</v>
      </c>
      <c r="C19" s="13"/>
      <c r="D19" s="13"/>
      <c r="E19" s="13"/>
      <c r="F19" s="13"/>
      <c r="G19" s="18"/>
      <c r="H19" s="15"/>
      <c r="I19" s="13"/>
      <c r="J19" s="13"/>
      <c r="K19" s="13"/>
      <c r="L19" s="13"/>
      <c r="M19" s="18"/>
      <c r="O19" s="13"/>
      <c r="P19" s="13"/>
      <c r="Q19" s="13"/>
      <c r="R19" s="13"/>
      <c r="S19" s="18"/>
      <c r="U19" s="13"/>
      <c r="V19" s="13"/>
      <c r="W19" s="13"/>
      <c r="X19" s="13"/>
      <c r="Y19" s="18"/>
      <c r="AA19" s="13"/>
      <c r="AB19" s="13"/>
      <c r="AC19" s="13"/>
      <c r="AD19" s="13"/>
      <c r="AE19" s="18"/>
      <c r="AG19" s="13"/>
      <c r="AH19" s="13"/>
      <c r="AI19" s="13"/>
      <c r="AJ19" s="13"/>
      <c r="AK19" s="18"/>
      <c r="AM19" s="13"/>
      <c r="AN19" s="13"/>
      <c r="AO19" s="13"/>
      <c r="AP19" s="13"/>
      <c r="AQ19" s="18"/>
      <c r="AS19" s="13"/>
      <c r="AT19" s="13"/>
      <c r="AU19" s="13"/>
      <c r="AV19" s="13"/>
      <c r="AW19" s="18"/>
      <c r="AY19" s="13"/>
      <c r="AZ19" s="13"/>
      <c r="BA19" s="13"/>
      <c r="BB19" s="13"/>
      <c r="BC19" s="18"/>
      <c r="BE19" s="13"/>
      <c r="BF19" s="13"/>
      <c r="BG19" s="13"/>
      <c r="BH19" s="82"/>
      <c r="BI19" s="18"/>
      <c r="BK19" s="13"/>
      <c r="BL19" s="13"/>
      <c r="BM19" s="13"/>
      <c r="BN19" s="82"/>
      <c r="BO19" s="14"/>
      <c r="BQ19" s="13"/>
      <c r="BR19" s="13"/>
      <c r="BS19" s="13"/>
      <c r="BT19" s="82"/>
      <c r="BU19" s="14"/>
      <c r="BW19" s="13"/>
      <c r="BX19" s="13"/>
      <c r="BY19" s="13"/>
      <c r="BZ19" s="82"/>
      <c r="CA19" s="14"/>
      <c r="CC19" s="13"/>
      <c r="CD19" s="13"/>
      <c r="CE19" s="13"/>
      <c r="CF19" s="82"/>
      <c r="CG19" s="14"/>
      <c r="CI19" s="13"/>
      <c r="CJ19" s="13"/>
      <c r="CK19" s="13"/>
      <c r="CL19" s="82"/>
      <c r="CM19" s="14"/>
    </row>
    <row r="20" spans="1:251">
      <c r="A20" s="4" t="s">
        <v>148</v>
      </c>
      <c r="C20" s="13"/>
      <c r="D20" s="13"/>
      <c r="E20" s="13"/>
      <c r="F20" s="13"/>
      <c r="G20" s="18"/>
      <c r="H20" s="15"/>
      <c r="I20" s="13"/>
      <c r="J20" s="13"/>
      <c r="K20" s="13"/>
      <c r="L20" s="13"/>
      <c r="M20" s="18"/>
      <c r="O20" s="13"/>
      <c r="P20" s="13"/>
      <c r="Q20" s="13"/>
      <c r="R20" s="13"/>
      <c r="S20" s="18"/>
      <c r="U20" s="13"/>
      <c r="V20" s="13"/>
      <c r="W20" s="13"/>
      <c r="X20" s="13"/>
      <c r="Y20" s="18"/>
      <c r="AA20" s="13"/>
      <c r="AB20" s="13"/>
      <c r="AC20" s="13"/>
      <c r="AD20" s="13"/>
      <c r="AE20" s="18"/>
      <c r="AG20" s="13"/>
      <c r="AH20" s="13"/>
      <c r="AI20" s="13"/>
      <c r="AJ20" s="13"/>
      <c r="AK20" s="18"/>
      <c r="AM20" s="13"/>
      <c r="AN20" s="13"/>
      <c r="AO20" s="13"/>
      <c r="AP20" s="13"/>
      <c r="AQ20" s="18"/>
      <c r="AS20" s="13"/>
      <c r="AT20" s="13"/>
      <c r="AU20" s="13"/>
      <c r="AV20" s="13"/>
      <c r="AW20" s="18"/>
      <c r="AY20" s="13"/>
      <c r="AZ20" s="13"/>
      <c r="BA20" s="13"/>
      <c r="BB20" s="13"/>
      <c r="BC20" s="18"/>
      <c r="BE20" s="13"/>
      <c r="BF20" s="13"/>
      <c r="BG20" s="13"/>
      <c r="BH20" s="82"/>
      <c r="BI20" s="18"/>
      <c r="BK20" s="13">
        <v>59</v>
      </c>
      <c r="BL20" s="13">
        <v>82</v>
      </c>
      <c r="BM20" s="13">
        <v>142</v>
      </c>
      <c r="BN20" s="82">
        <v>46</v>
      </c>
      <c r="BO20" s="107">
        <f>SUM(BK20:BN20)</f>
        <v>329</v>
      </c>
      <c r="BQ20" s="13">
        <v>28</v>
      </c>
      <c r="BR20" s="13">
        <v>9</v>
      </c>
      <c r="BS20" s="13">
        <v>72</v>
      </c>
      <c r="BT20" s="82">
        <v>73</v>
      </c>
      <c r="BU20" s="107">
        <f>SUM(BQ20:BT20)</f>
        <v>182</v>
      </c>
      <c r="BW20" s="13">
        <v>40</v>
      </c>
      <c r="BX20" s="13">
        <v>45</v>
      </c>
      <c r="BY20" s="13">
        <v>102</v>
      </c>
      <c r="BZ20" s="82">
        <v>103</v>
      </c>
      <c r="CA20" s="107">
        <f>SUM(BW20:BZ20)</f>
        <v>290</v>
      </c>
      <c r="CC20" s="13">
        <v>43</v>
      </c>
      <c r="CD20" s="13">
        <v>70</v>
      </c>
      <c r="CE20" s="13">
        <v>103</v>
      </c>
      <c r="CF20" s="82">
        <v>119</v>
      </c>
      <c r="CG20" s="107">
        <f>SUM(CC20:CF20)</f>
        <v>335</v>
      </c>
      <c r="CI20" s="13">
        <v>49</v>
      </c>
      <c r="CJ20" s="13">
        <v>115</v>
      </c>
      <c r="CK20" s="13">
        <v>135</v>
      </c>
      <c r="CL20" s="82">
        <v>185</v>
      </c>
      <c r="CM20" s="107">
        <f>SUM(CI20:CL20)</f>
        <v>484</v>
      </c>
    </row>
    <row r="21" spans="1:251">
      <c r="A21" s="4" t="s">
        <v>211</v>
      </c>
      <c r="C21" s="13"/>
      <c r="D21" s="13"/>
      <c r="E21" s="13"/>
      <c r="F21" s="13"/>
      <c r="G21" s="18"/>
      <c r="H21" s="15"/>
      <c r="I21" s="13"/>
      <c r="J21" s="13"/>
      <c r="K21" s="13"/>
      <c r="L21" s="13"/>
      <c r="M21" s="18"/>
      <c r="O21" s="13"/>
      <c r="P21" s="13"/>
      <c r="Q21" s="13"/>
      <c r="R21" s="13"/>
      <c r="S21" s="18"/>
      <c r="U21" s="13"/>
      <c r="V21" s="13"/>
      <c r="W21" s="13"/>
      <c r="X21" s="13"/>
      <c r="Y21" s="18"/>
      <c r="AA21" s="13"/>
      <c r="AB21" s="13"/>
      <c r="AC21" s="13"/>
      <c r="AD21" s="13"/>
      <c r="AE21" s="18"/>
      <c r="AG21" s="13"/>
      <c r="AH21" s="13"/>
      <c r="AI21" s="13"/>
      <c r="AJ21" s="13"/>
      <c r="AK21" s="18"/>
      <c r="AM21" s="13"/>
      <c r="AN21" s="13"/>
      <c r="AO21" s="13"/>
      <c r="AP21" s="13"/>
      <c r="AQ21" s="18"/>
      <c r="AS21" s="13"/>
      <c r="AT21" s="13"/>
      <c r="AU21" s="13"/>
      <c r="AV21" s="13"/>
      <c r="AW21" s="18"/>
      <c r="AY21" s="13"/>
      <c r="AZ21" s="13"/>
      <c r="BA21" s="13"/>
      <c r="BB21" s="13"/>
      <c r="BC21" s="18"/>
      <c r="BE21" s="13"/>
      <c r="BF21" s="13"/>
      <c r="BG21" s="13"/>
      <c r="BH21" s="82"/>
      <c r="BI21" s="18"/>
      <c r="BK21" s="13">
        <v>172</v>
      </c>
      <c r="BL21" s="13">
        <v>190</v>
      </c>
      <c r="BM21" s="13">
        <v>130</v>
      </c>
      <c r="BN21" s="82">
        <v>120</v>
      </c>
      <c r="BO21" s="107">
        <f t="shared" ref="BO21:BO24" si="15">SUM(BK21:BN21)</f>
        <v>612</v>
      </c>
      <c r="BQ21" s="13">
        <v>181</v>
      </c>
      <c r="BR21" s="13">
        <v>200</v>
      </c>
      <c r="BS21" s="13">
        <v>161</v>
      </c>
      <c r="BT21" s="82">
        <v>190</v>
      </c>
      <c r="BU21" s="107">
        <f t="shared" ref="BU21:BU24" si="16">SUM(BQ21:BT21)</f>
        <v>732</v>
      </c>
      <c r="BW21" s="13">
        <v>196</v>
      </c>
      <c r="BX21" s="13">
        <v>208</v>
      </c>
      <c r="BY21" s="13">
        <v>158</v>
      </c>
      <c r="BZ21" s="82">
        <v>213</v>
      </c>
      <c r="CA21" s="107">
        <f t="shared" ref="CA21:CA24" si="17">SUM(BW21:BZ21)</f>
        <v>775</v>
      </c>
      <c r="CC21" s="13">
        <v>188</v>
      </c>
      <c r="CD21" s="13">
        <v>224</v>
      </c>
      <c r="CE21" s="13">
        <v>156</v>
      </c>
      <c r="CF21" s="82">
        <v>210</v>
      </c>
      <c r="CG21" s="107">
        <f t="shared" ref="CG21:CG24" si="18">SUM(CC21:CF21)</f>
        <v>778</v>
      </c>
      <c r="CI21" s="13">
        <v>213</v>
      </c>
      <c r="CJ21" s="13">
        <v>218</v>
      </c>
      <c r="CK21" s="13">
        <v>141</v>
      </c>
      <c r="CL21" s="82">
        <v>227</v>
      </c>
      <c r="CM21" s="107">
        <f t="shared" ref="CM21:CM24" si="19">SUM(CI21:CL21)</f>
        <v>799</v>
      </c>
    </row>
    <row r="22" spans="1:251">
      <c r="A22" s="4" t="s">
        <v>168</v>
      </c>
      <c r="C22" s="13"/>
      <c r="D22" s="13"/>
      <c r="E22" s="13"/>
      <c r="F22" s="13"/>
      <c r="G22" s="18"/>
      <c r="H22" s="15"/>
      <c r="I22" s="13"/>
      <c r="J22" s="13"/>
      <c r="K22" s="13"/>
      <c r="L22" s="13"/>
      <c r="M22" s="18"/>
      <c r="O22" s="13"/>
      <c r="P22" s="13"/>
      <c r="Q22" s="13"/>
      <c r="R22" s="13"/>
      <c r="S22" s="18"/>
      <c r="U22" s="13"/>
      <c r="V22" s="13"/>
      <c r="W22" s="13"/>
      <c r="X22" s="13"/>
      <c r="Y22" s="18"/>
      <c r="AA22" s="13"/>
      <c r="AB22" s="13"/>
      <c r="AC22" s="13"/>
      <c r="AD22" s="13"/>
      <c r="AE22" s="18"/>
      <c r="AG22" s="13"/>
      <c r="AH22" s="13"/>
      <c r="AI22" s="13"/>
      <c r="AJ22" s="13"/>
      <c r="AK22" s="18"/>
      <c r="AM22" s="13"/>
      <c r="AN22" s="13"/>
      <c r="AO22" s="13"/>
      <c r="AP22" s="13"/>
      <c r="AQ22" s="18"/>
      <c r="AS22" s="13"/>
      <c r="AT22" s="13"/>
      <c r="AU22" s="13"/>
      <c r="AV22" s="13"/>
      <c r="AW22" s="18"/>
      <c r="AY22" s="13"/>
      <c r="AZ22" s="13"/>
      <c r="BA22" s="13"/>
      <c r="BB22" s="13"/>
      <c r="BC22" s="18"/>
      <c r="BE22" s="13"/>
      <c r="BF22" s="13"/>
      <c r="BG22" s="13"/>
      <c r="BH22" s="82"/>
      <c r="BI22" s="18"/>
      <c r="BK22" s="13">
        <v>17</v>
      </c>
      <c r="BL22" s="13">
        <v>23</v>
      </c>
      <c r="BM22" s="13">
        <v>17</v>
      </c>
      <c r="BN22" s="82">
        <v>33</v>
      </c>
      <c r="BO22" s="107">
        <f t="shared" si="15"/>
        <v>90</v>
      </c>
      <c r="BQ22" s="13">
        <v>28</v>
      </c>
      <c r="BR22" s="13">
        <v>21</v>
      </c>
      <c r="BS22" s="13">
        <v>89</v>
      </c>
      <c r="BT22" s="82">
        <v>20</v>
      </c>
      <c r="BU22" s="107">
        <f t="shared" si="16"/>
        <v>158</v>
      </c>
      <c r="BW22" s="13"/>
      <c r="BX22" s="13"/>
      <c r="BY22" s="13"/>
      <c r="BZ22" s="82"/>
      <c r="CA22" s="107">
        <f t="shared" si="17"/>
        <v>0</v>
      </c>
      <c r="CC22" s="13"/>
      <c r="CD22" s="13"/>
      <c r="CE22" s="13"/>
      <c r="CF22" s="82"/>
      <c r="CG22" s="107">
        <f t="shared" si="18"/>
        <v>0</v>
      </c>
      <c r="CI22" s="13"/>
      <c r="CJ22" s="13"/>
      <c r="CK22" s="13"/>
      <c r="CL22" s="82"/>
      <c r="CM22" s="107">
        <f t="shared" si="19"/>
        <v>0</v>
      </c>
    </row>
    <row r="23" spans="1:251">
      <c r="A23" s="4" t="s">
        <v>146</v>
      </c>
      <c r="C23" s="13"/>
      <c r="D23" s="13"/>
      <c r="E23" s="13"/>
      <c r="F23" s="13"/>
      <c r="G23" s="18"/>
      <c r="H23" s="15"/>
      <c r="I23" s="13"/>
      <c r="J23" s="13"/>
      <c r="K23" s="13"/>
      <c r="L23" s="13"/>
      <c r="M23" s="18"/>
      <c r="O23" s="13"/>
      <c r="P23" s="13"/>
      <c r="Q23" s="13"/>
      <c r="R23" s="13"/>
      <c r="S23" s="18"/>
      <c r="U23" s="13"/>
      <c r="V23" s="13"/>
      <c r="W23" s="13"/>
      <c r="X23" s="13"/>
      <c r="Y23" s="18"/>
      <c r="AA23" s="13"/>
      <c r="AB23" s="13"/>
      <c r="AC23" s="13"/>
      <c r="AD23" s="13"/>
      <c r="AE23" s="18"/>
      <c r="AG23" s="13"/>
      <c r="AH23" s="13"/>
      <c r="AI23" s="13"/>
      <c r="AJ23" s="13"/>
      <c r="AK23" s="18"/>
      <c r="AM23" s="13"/>
      <c r="AN23" s="13"/>
      <c r="AO23" s="13"/>
      <c r="AP23" s="13"/>
      <c r="AQ23" s="18"/>
      <c r="AS23" s="13"/>
      <c r="AT23" s="13"/>
      <c r="AU23" s="13"/>
      <c r="AV23" s="13"/>
      <c r="AW23" s="18"/>
      <c r="AY23" s="13"/>
      <c r="AZ23" s="13"/>
      <c r="BA23" s="13"/>
      <c r="BB23" s="13"/>
      <c r="BC23" s="18"/>
      <c r="BE23" s="13"/>
      <c r="BF23" s="13"/>
      <c r="BG23" s="13"/>
      <c r="BH23" s="82"/>
      <c r="BI23" s="18"/>
      <c r="BK23" s="13">
        <v>-6</v>
      </c>
      <c r="BL23" s="13">
        <v>-5</v>
      </c>
      <c r="BM23" s="13">
        <v>-2</v>
      </c>
      <c r="BN23" s="82">
        <v>2</v>
      </c>
      <c r="BO23" s="107">
        <f t="shared" si="15"/>
        <v>-11</v>
      </c>
      <c r="BQ23" s="13">
        <v>-8</v>
      </c>
      <c r="BR23" s="13">
        <v>-1</v>
      </c>
      <c r="BS23" s="13">
        <v>3</v>
      </c>
      <c r="BT23" s="82">
        <v>7</v>
      </c>
      <c r="BU23" s="107">
        <f t="shared" si="16"/>
        <v>1</v>
      </c>
      <c r="BW23" s="13">
        <v>-1</v>
      </c>
      <c r="BX23" s="13">
        <v>-4</v>
      </c>
      <c r="BY23" s="13">
        <v>-1</v>
      </c>
      <c r="BZ23" s="82">
        <v>15</v>
      </c>
      <c r="CA23" s="107">
        <f t="shared" si="17"/>
        <v>9</v>
      </c>
      <c r="CC23" s="13">
        <v>-5</v>
      </c>
      <c r="CD23" s="13">
        <v>-1</v>
      </c>
      <c r="CE23" s="13">
        <v>2</v>
      </c>
      <c r="CF23" s="82">
        <v>10</v>
      </c>
      <c r="CG23" s="107">
        <f t="shared" si="18"/>
        <v>6</v>
      </c>
      <c r="CI23" s="13">
        <v>0</v>
      </c>
      <c r="CJ23" s="13">
        <v>-2</v>
      </c>
      <c r="CK23" s="13">
        <v>1</v>
      </c>
      <c r="CL23" s="82">
        <v>22</v>
      </c>
      <c r="CM23" s="107">
        <f t="shared" si="19"/>
        <v>21</v>
      </c>
    </row>
    <row r="24" spans="1:251">
      <c r="A24" s="4" t="s">
        <v>111</v>
      </c>
      <c r="C24" s="13"/>
      <c r="D24" s="13"/>
      <c r="E24" s="13"/>
      <c r="F24" s="13"/>
      <c r="G24" s="18"/>
      <c r="H24" s="15"/>
      <c r="I24" s="13"/>
      <c r="J24" s="13"/>
      <c r="K24" s="13"/>
      <c r="L24" s="13"/>
      <c r="M24" s="18"/>
      <c r="O24" s="13"/>
      <c r="P24" s="13"/>
      <c r="Q24" s="13"/>
      <c r="R24" s="13"/>
      <c r="S24" s="18"/>
      <c r="U24" s="13"/>
      <c r="V24" s="13"/>
      <c r="W24" s="13"/>
      <c r="X24" s="13"/>
      <c r="Y24" s="18"/>
      <c r="AA24" s="13"/>
      <c r="AB24" s="13"/>
      <c r="AC24" s="13"/>
      <c r="AD24" s="13"/>
      <c r="AE24" s="18"/>
      <c r="AG24" s="13"/>
      <c r="AH24" s="13"/>
      <c r="AI24" s="13"/>
      <c r="AJ24" s="13"/>
      <c r="AK24" s="18"/>
      <c r="AM24" s="13"/>
      <c r="AN24" s="13"/>
      <c r="AO24" s="13"/>
      <c r="AP24" s="13"/>
      <c r="AQ24" s="18"/>
      <c r="AS24" s="13"/>
      <c r="AT24" s="13"/>
      <c r="AU24" s="13"/>
      <c r="AV24" s="13"/>
      <c r="AW24" s="18"/>
      <c r="AY24" s="13"/>
      <c r="AZ24" s="13"/>
      <c r="BA24" s="13"/>
      <c r="BB24" s="13"/>
      <c r="BC24" s="18"/>
      <c r="BE24" s="13"/>
      <c r="BF24" s="13"/>
      <c r="BG24" s="13"/>
      <c r="BH24" s="82"/>
      <c r="BI24" s="18"/>
      <c r="BK24" s="13">
        <v>-7</v>
      </c>
      <c r="BL24" s="13">
        <v>-8</v>
      </c>
      <c r="BM24" s="13">
        <v>-10</v>
      </c>
      <c r="BN24" s="82">
        <v>-8</v>
      </c>
      <c r="BO24" s="107">
        <f t="shared" si="15"/>
        <v>-33</v>
      </c>
      <c r="BQ24" s="13">
        <v>-8</v>
      </c>
      <c r="BR24" s="13">
        <v>-11</v>
      </c>
      <c r="BS24" s="13">
        <v>-9</v>
      </c>
      <c r="BT24" s="82">
        <v>-9</v>
      </c>
      <c r="BU24" s="107">
        <f t="shared" si="16"/>
        <v>-37</v>
      </c>
      <c r="BW24" s="13">
        <v>-6</v>
      </c>
      <c r="BX24" s="13">
        <v>-11</v>
      </c>
      <c r="BY24" s="13">
        <v>-8</v>
      </c>
      <c r="BZ24" s="82">
        <v>-10</v>
      </c>
      <c r="CA24" s="107">
        <f t="shared" si="17"/>
        <v>-35</v>
      </c>
      <c r="CC24" s="13">
        <v>-9</v>
      </c>
      <c r="CD24" s="13">
        <v>-13</v>
      </c>
      <c r="CE24" s="13">
        <v>-5</v>
      </c>
      <c r="CF24" s="82">
        <v>-7</v>
      </c>
      <c r="CG24" s="107">
        <f t="shared" si="18"/>
        <v>-34</v>
      </c>
      <c r="CI24" s="13">
        <v>-8</v>
      </c>
      <c r="CJ24" s="13">
        <v>-8</v>
      </c>
      <c r="CK24" s="13">
        <v>-6</v>
      </c>
      <c r="CL24" s="82">
        <v>-13</v>
      </c>
      <c r="CM24" s="107">
        <f t="shared" si="19"/>
        <v>-35</v>
      </c>
    </row>
    <row r="25" spans="1:251">
      <c r="A25" s="11"/>
      <c r="C25" s="13"/>
      <c r="D25" s="13"/>
      <c r="E25" s="13"/>
      <c r="F25" s="13"/>
      <c r="G25" s="18"/>
      <c r="H25" s="15"/>
      <c r="I25" s="13"/>
      <c r="J25" s="13"/>
      <c r="K25" s="13"/>
      <c r="L25" s="13"/>
      <c r="M25" s="18"/>
      <c r="O25" s="13"/>
      <c r="P25" s="13"/>
      <c r="Q25" s="13"/>
      <c r="R25" s="13"/>
      <c r="S25" s="18"/>
      <c r="U25" s="13"/>
      <c r="V25" s="13"/>
      <c r="W25" s="13"/>
      <c r="X25" s="13"/>
      <c r="Y25" s="18"/>
      <c r="AA25" s="13"/>
      <c r="AB25" s="13"/>
      <c r="AC25" s="13"/>
      <c r="AD25" s="13"/>
      <c r="AE25" s="18"/>
      <c r="AG25" s="13"/>
      <c r="AH25" s="13"/>
      <c r="AI25" s="13"/>
      <c r="AJ25" s="13"/>
      <c r="AK25" s="18"/>
      <c r="AM25" s="13"/>
      <c r="AN25" s="13"/>
      <c r="AO25" s="13"/>
      <c r="AP25" s="13"/>
      <c r="AQ25" s="18"/>
      <c r="AS25" s="13"/>
      <c r="AT25" s="13"/>
      <c r="AU25" s="13"/>
      <c r="AV25" s="13"/>
      <c r="AW25" s="18"/>
      <c r="AY25" s="13"/>
      <c r="AZ25" s="13"/>
      <c r="BA25" s="13"/>
      <c r="BB25" s="13"/>
      <c r="BC25" s="18"/>
      <c r="BE25" s="13"/>
      <c r="BF25" s="13"/>
      <c r="BG25" s="13"/>
      <c r="BH25" s="82"/>
      <c r="BI25" s="18"/>
      <c r="BK25" s="16">
        <f>SUM(BK19:BK24)</f>
        <v>235</v>
      </c>
      <c r="BL25" s="16">
        <f>SUM(BL19:BL24)</f>
        <v>282</v>
      </c>
      <c r="BM25" s="16">
        <f>SUM(BM19:BM24)</f>
        <v>277</v>
      </c>
      <c r="BN25" s="16">
        <f>SUM(BN19:BN24)</f>
        <v>193</v>
      </c>
      <c r="BO25" s="108">
        <f>SUM(BO19:BO24)</f>
        <v>987</v>
      </c>
      <c r="BQ25" s="16">
        <f>SUM(BQ19:BQ24)</f>
        <v>221</v>
      </c>
      <c r="BR25" s="16">
        <f>SUM(BR19:BR24)</f>
        <v>218</v>
      </c>
      <c r="BS25" s="16">
        <f>SUM(BS19:BS24)</f>
        <v>316</v>
      </c>
      <c r="BT25" s="16">
        <f>SUM(BT19:BT24)</f>
        <v>281</v>
      </c>
      <c r="BU25" s="108">
        <f>SUM(BU19:BU24)</f>
        <v>1036</v>
      </c>
      <c r="BW25" s="16">
        <f>SUM(BW19:BW24)</f>
        <v>229</v>
      </c>
      <c r="BX25" s="16">
        <f>SUM(BX19:BX24)</f>
        <v>238</v>
      </c>
      <c r="BY25" s="16">
        <f>SUM(BY19:BY24)</f>
        <v>251</v>
      </c>
      <c r="BZ25" s="16">
        <f>SUM(BZ19:BZ24)</f>
        <v>321</v>
      </c>
      <c r="CA25" s="108">
        <f>SUM(CA19:CA24)</f>
        <v>1039</v>
      </c>
      <c r="CC25" s="16">
        <f>SUM(CC19:CC24)</f>
        <v>217</v>
      </c>
      <c r="CD25" s="16">
        <f>SUM(CD19:CD24)</f>
        <v>280</v>
      </c>
      <c r="CE25" s="16">
        <f>SUM(CE19:CE24)</f>
        <v>256</v>
      </c>
      <c r="CF25" s="16">
        <f>SUM(CF19:CF24)</f>
        <v>332</v>
      </c>
      <c r="CG25" s="108">
        <f>SUM(CG19:CG24)</f>
        <v>1085</v>
      </c>
      <c r="CI25" s="16">
        <f>SUM(CI19:CI24)</f>
        <v>254</v>
      </c>
      <c r="CJ25" s="16">
        <f>SUM(CJ19:CJ24)</f>
        <v>323</v>
      </c>
      <c r="CK25" s="16">
        <f>SUM(CK19:CK24)</f>
        <v>271</v>
      </c>
      <c r="CL25" s="16">
        <f>SUM(CL19:CL24)</f>
        <v>421</v>
      </c>
      <c r="CM25" s="108">
        <f>SUM(CM19:CM24)</f>
        <v>1269</v>
      </c>
    </row>
    <row r="26" spans="1:251" ht="18.75" customHeight="1">
      <c r="A26" s="11" t="s">
        <v>201</v>
      </c>
      <c r="C26" s="13"/>
      <c r="D26" s="13"/>
      <c r="E26" s="13"/>
      <c r="F26" s="13"/>
      <c r="G26" s="18"/>
      <c r="H26" s="15"/>
      <c r="I26" s="13"/>
      <c r="J26" s="13"/>
      <c r="K26" s="13"/>
      <c r="L26" s="13"/>
      <c r="M26" s="18"/>
      <c r="O26" s="13"/>
      <c r="P26" s="13"/>
      <c r="Q26" s="13"/>
      <c r="R26" s="13"/>
      <c r="S26" s="18"/>
      <c r="U26" s="13"/>
      <c r="V26" s="13"/>
      <c r="W26" s="13"/>
      <c r="X26" s="13"/>
      <c r="Y26" s="18"/>
      <c r="AA26" s="13"/>
      <c r="AB26" s="13"/>
      <c r="AC26" s="13"/>
      <c r="AD26" s="13"/>
      <c r="AE26" s="18"/>
      <c r="AG26" s="13"/>
      <c r="AH26" s="13"/>
      <c r="AI26" s="13"/>
      <c r="AJ26" s="13"/>
      <c r="AK26" s="18"/>
      <c r="AM26" s="13"/>
      <c r="AN26" s="13"/>
      <c r="AO26" s="13"/>
      <c r="AP26" s="13"/>
      <c r="AQ26" s="18"/>
      <c r="AS26" s="13"/>
      <c r="AT26" s="13"/>
      <c r="AU26" s="13"/>
      <c r="AV26" s="13"/>
      <c r="AW26" s="18"/>
      <c r="AY26" s="13"/>
      <c r="AZ26" s="13"/>
      <c r="BA26" s="13"/>
      <c r="BB26" s="13"/>
      <c r="BC26" s="18"/>
      <c r="BE26" s="13"/>
      <c r="BF26" s="13"/>
      <c r="BG26" s="13"/>
      <c r="BH26" s="82"/>
      <c r="BI26" s="18"/>
      <c r="BK26" s="36">
        <f>+BK25/BK17</f>
        <v>9.4226142742582203E-2</v>
      </c>
      <c r="BL26" s="36">
        <f t="shared" ref="BL26:BO26" si="20">+BL25/BL17</f>
        <v>9.5496105655265826E-2</v>
      </c>
      <c r="BM26" s="36">
        <f t="shared" si="20"/>
        <v>9.4121644580360181E-2</v>
      </c>
      <c r="BN26" s="36">
        <f t="shared" si="20"/>
        <v>6.25E-2</v>
      </c>
      <c r="BO26" s="109">
        <f t="shared" si="20"/>
        <v>8.5990590695243077E-2</v>
      </c>
      <c r="BQ26" s="36">
        <f>+BQ25/BQ17</f>
        <v>7.719175689835836E-2</v>
      </c>
      <c r="BR26" s="36">
        <f t="shared" ref="BR26" si="21">+BR25/BR17</f>
        <v>7.0848228794280141E-2</v>
      </c>
      <c r="BS26" s="36">
        <f t="shared" ref="BS26" si="22">+BS25/BS17</f>
        <v>0.10439378923026098</v>
      </c>
      <c r="BT26" s="36">
        <f t="shared" ref="BT26" si="23">+BT25/BT17</f>
        <v>8.8253768844221106E-2</v>
      </c>
      <c r="BU26" s="109">
        <f t="shared" ref="BU26" si="24">+BU25/BU17</f>
        <v>8.5260472389103781E-2</v>
      </c>
      <c r="BW26" s="36">
        <f>+BW25/BW17</f>
        <v>8.1610833927298648E-2</v>
      </c>
      <c r="BX26" s="36">
        <f t="shared" ref="BX26" si="25">+BX25/BX17</f>
        <v>7.7297823968821039E-2</v>
      </c>
      <c r="BY26" s="36">
        <f t="shared" ref="BY26" si="26">+BY25/BY17</f>
        <v>8.2674571805006591E-2</v>
      </c>
      <c r="BZ26" s="36">
        <f t="shared" ref="BZ26" si="27">+BZ25/BZ17</f>
        <v>9.9473194917880384E-2</v>
      </c>
      <c r="CA26" s="109">
        <f t="shared" ref="CA26" si="28">+CA25/CA17</f>
        <v>8.5528482054659197E-2</v>
      </c>
      <c r="CC26" s="36">
        <f>+CC25/CC17</f>
        <v>7.5900664568030782E-2</v>
      </c>
      <c r="CD26" s="36">
        <f t="shared" ref="CD26" si="29">+CD25/CD17</f>
        <v>8.5784313725490197E-2</v>
      </c>
      <c r="CE26" s="36">
        <f t="shared" ref="CE26" si="30">+CE25/CE17</f>
        <v>7.8001218769043271E-2</v>
      </c>
      <c r="CF26" s="36">
        <f t="shared" ref="CF26" si="31">+CF25/CF17</f>
        <v>9.6567771960442111E-2</v>
      </c>
      <c r="CG26" s="109">
        <f t="shared" ref="CG26" si="32">+CG25/CG17</f>
        <v>8.448181888966752E-2</v>
      </c>
      <c r="CI26" s="36">
        <f>+CI25/CI17</f>
        <v>7.9899339414910356E-2</v>
      </c>
      <c r="CJ26" s="36">
        <f t="shared" ref="CJ26" si="33">+CJ25/CJ17</f>
        <v>9.679352712016781E-2</v>
      </c>
      <c r="CK26" s="36">
        <f t="shared" ref="CK26" si="34">+CK25/CK17</f>
        <v>8.2596769277659257E-2</v>
      </c>
      <c r="CL26" s="36">
        <f t="shared" ref="CL26" si="35">+CL25/CL17</f>
        <v>0.1244457582027786</v>
      </c>
      <c r="CM26" s="109">
        <f t="shared" ref="CM26" si="36">+CM25/CM17</f>
        <v>9.6282245827010629E-2</v>
      </c>
    </row>
    <row r="27" spans="1:251" ht="18.75" customHeight="1">
      <c r="A27" s="11" t="s">
        <v>202</v>
      </c>
      <c r="C27" s="13"/>
      <c r="D27" s="13"/>
      <c r="E27" s="13"/>
      <c r="F27" s="13"/>
      <c r="G27" s="18"/>
      <c r="H27" s="15"/>
      <c r="I27" s="13"/>
      <c r="J27" s="13"/>
      <c r="K27" s="13"/>
      <c r="L27" s="13"/>
      <c r="M27" s="18"/>
      <c r="O27" s="13"/>
      <c r="P27" s="13"/>
      <c r="Q27" s="13"/>
      <c r="R27" s="13"/>
      <c r="S27" s="18"/>
      <c r="U27" s="13"/>
      <c r="V27" s="13"/>
      <c r="W27" s="13"/>
      <c r="X27" s="13"/>
      <c r="Y27" s="18"/>
      <c r="AA27" s="13"/>
      <c r="AB27" s="13"/>
      <c r="AC27" s="13"/>
      <c r="AD27" s="13"/>
      <c r="AE27" s="18"/>
      <c r="AG27" s="13"/>
      <c r="AH27" s="13"/>
      <c r="AI27" s="13"/>
      <c r="AJ27" s="13"/>
      <c r="AK27" s="18"/>
      <c r="AM27" s="13"/>
      <c r="AN27" s="13"/>
      <c r="AO27" s="13"/>
      <c r="AP27" s="13"/>
      <c r="AQ27" s="18"/>
      <c r="AS27" s="13"/>
      <c r="AT27" s="13"/>
      <c r="AU27" s="13"/>
      <c r="AV27" s="13"/>
      <c r="AW27" s="18"/>
      <c r="AY27" s="13"/>
      <c r="AZ27" s="13"/>
      <c r="BA27" s="13"/>
      <c r="BB27" s="13"/>
      <c r="BC27" s="18"/>
      <c r="BE27" s="13"/>
      <c r="BF27" s="13"/>
      <c r="BG27" s="13"/>
      <c r="BH27" s="82"/>
      <c r="BI27" s="18"/>
      <c r="BK27" s="36">
        <f>+BK20/BK16</f>
        <v>5.6949806949806947E-2</v>
      </c>
      <c r="BL27" s="36">
        <f t="shared" ref="BL27:BO27" si="37">+BL20/BL16</f>
        <v>5.9679767103347887E-2</v>
      </c>
      <c r="BM27" s="36">
        <f t="shared" si="37"/>
        <v>9.3053735255570119E-2</v>
      </c>
      <c r="BN27" s="36">
        <f t="shared" si="37"/>
        <v>2.8553693358162633E-2</v>
      </c>
      <c r="BO27" s="109">
        <f t="shared" si="37"/>
        <v>5.9311339462772672E-2</v>
      </c>
      <c r="BQ27" s="36">
        <f>+BQ20/BQ16</f>
        <v>2.2082018927444796E-2</v>
      </c>
      <c r="BR27" s="36">
        <f t="shared" ref="BR27:BU27" si="38">+BR20/BR16</f>
        <v>6.5359477124183009E-3</v>
      </c>
      <c r="BS27" s="36">
        <f t="shared" si="38"/>
        <v>4.894629503738953E-2</v>
      </c>
      <c r="BT27" s="36">
        <f t="shared" si="38"/>
        <v>4.8057932850559579E-2</v>
      </c>
      <c r="BU27" s="109">
        <f t="shared" si="38"/>
        <v>3.2298136645962733E-2</v>
      </c>
      <c r="BW27" s="36">
        <f>+BW20/BW16</f>
        <v>3.5971223021582732E-2</v>
      </c>
      <c r="BX27" s="36">
        <f t="shared" ref="BX27:CA27" si="39">+BX20/BX16</f>
        <v>3.3733133433283359E-2</v>
      </c>
      <c r="BY27" s="36">
        <f t="shared" si="39"/>
        <v>6.9529652351738247E-2</v>
      </c>
      <c r="BZ27" s="36">
        <f t="shared" si="39"/>
        <v>6.830238726790451E-2</v>
      </c>
      <c r="CA27" s="109">
        <f t="shared" si="39"/>
        <v>5.3495665006456375E-2</v>
      </c>
      <c r="CC27" s="36">
        <f>+CC20/CC16</f>
        <v>3.7423846823324627E-2</v>
      </c>
      <c r="CD27" s="36">
        <f t="shared" ref="CD27:CG27" si="40">+CD20/CD16</f>
        <v>4.784688995215311E-2</v>
      </c>
      <c r="CE27" s="36">
        <f t="shared" si="40"/>
        <v>6.2010836845273934E-2</v>
      </c>
      <c r="CF27" s="36">
        <f t="shared" si="40"/>
        <v>6.8233944954128434E-2</v>
      </c>
      <c r="CG27" s="109">
        <f t="shared" si="40"/>
        <v>5.5675585840119661E-2</v>
      </c>
      <c r="CI27" s="36">
        <f>+CI20/CI16</f>
        <v>3.5558780841799711E-2</v>
      </c>
      <c r="CJ27" s="36">
        <f t="shared" ref="CJ27:CM27" si="41">+CJ20/CJ16</f>
        <v>7.6361221779548474E-2</v>
      </c>
      <c r="CK27" s="36">
        <f t="shared" si="41"/>
        <v>8.1472540736270374E-2</v>
      </c>
      <c r="CL27" s="36">
        <f t="shared" si="41"/>
        <v>0.12219286657859973</v>
      </c>
      <c r="CM27" s="109">
        <f t="shared" si="41"/>
        <v>7.9933938893476469E-2</v>
      </c>
    </row>
    <row r="28" spans="1:251" ht="18.75" customHeight="1">
      <c r="A28" s="11" t="s">
        <v>204</v>
      </c>
      <c r="C28" s="13"/>
      <c r="D28" s="13"/>
      <c r="E28" s="13"/>
      <c r="F28" s="13"/>
      <c r="G28" s="18"/>
      <c r="H28" s="15"/>
      <c r="I28" s="13"/>
      <c r="J28" s="13"/>
      <c r="K28" s="13"/>
      <c r="L28" s="13"/>
      <c r="M28" s="18"/>
      <c r="O28" s="13"/>
      <c r="P28" s="13"/>
      <c r="Q28" s="13"/>
      <c r="R28" s="13"/>
      <c r="S28" s="18"/>
      <c r="U28" s="13"/>
      <c r="V28" s="13"/>
      <c r="W28" s="13"/>
      <c r="X28" s="13"/>
      <c r="Y28" s="18"/>
      <c r="AA28" s="13"/>
      <c r="AB28" s="13"/>
      <c r="AC28" s="13"/>
      <c r="AD28" s="13"/>
      <c r="AE28" s="18"/>
      <c r="AG28" s="13"/>
      <c r="AH28" s="13"/>
      <c r="AI28" s="13"/>
      <c r="AJ28" s="13"/>
      <c r="AK28" s="18"/>
      <c r="AM28" s="13"/>
      <c r="AN28" s="13"/>
      <c r="AO28" s="13"/>
      <c r="AP28" s="13"/>
      <c r="AQ28" s="18"/>
      <c r="AS28" s="13"/>
      <c r="AT28" s="13"/>
      <c r="AU28" s="13"/>
      <c r="AV28" s="13"/>
      <c r="AW28" s="18"/>
      <c r="AY28" s="13"/>
      <c r="AZ28" s="13"/>
      <c r="BA28" s="13"/>
      <c r="BB28" s="13"/>
      <c r="BC28" s="18"/>
      <c r="BE28" s="13"/>
      <c r="BF28" s="13"/>
      <c r="BG28" s="13"/>
      <c r="BH28" s="82"/>
      <c r="BI28" s="18"/>
      <c r="BK28" s="36">
        <f>+BK21/BK8</f>
        <v>0.12129760225669958</v>
      </c>
      <c r="BL28" s="36">
        <f t="shared" ref="BL28:BO28" si="42">+BL21/BL8</f>
        <v>0.12402088772845953</v>
      </c>
      <c r="BM28" s="36">
        <f t="shared" si="42"/>
        <v>9.4752186588921289E-2</v>
      </c>
      <c r="BN28" s="36">
        <f t="shared" si="42"/>
        <v>8.4210526315789472E-2</v>
      </c>
      <c r="BO28" s="109">
        <f t="shared" si="42"/>
        <v>0.10649034278754133</v>
      </c>
      <c r="BQ28" s="36">
        <f>+BQ21/BQ8</f>
        <v>0.11662371134020619</v>
      </c>
      <c r="BR28" s="36">
        <f t="shared" ref="BR28:BU28" si="43">+BR21/BR8</f>
        <v>0.12113870381586916</v>
      </c>
      <c r="BS28" s="36">
        <f t="shared" si="43"/>
        <v>0.1072618254497002</v>
      </c>
      <c r="BT28" s="36">
        <f t="shared" si="43"/>
        <v>0.11852776044915783</v>
      </c>
      <c r="BU28" s="109">
        <f t="shared" si="43"/>
        <v>0.11606151894720153</v>
      </c>
      <c r="BW28" s="36">
        <f>+BW21/BW8</f>
        <v>0.11980440097799511</v>
      </c>
      <c r="BX28" s="36">
        <f t="shared" ref="BX28:CA28" si="44">+BX21/BX8</f>
        <v>0.12285883047844064</v>
      </c>
      <c r="BY28" s="36">
        <f t="shared" si="44"/>
        <v>0.1041529334212261</v>
      </c>
      <c r="BZ28" s="36">
        <f t="shared" si="44"/>
        <v>0.12948328267477205</v>
      </c>
      <c r="CA28" s="109">
        <f t="shared" si="44"/>
        <v>0.11939608688953936</v>
      </c>
      <c r="CC28" s="36">
        <f>+CC21/CC8</f>
        <v>0.113595166163142</v>
      </c>
      <c r="CD28" s="36">
        <f t="shared" ref="CD28:CG28" si="45">+CD21/CD8</f>
        <v>0.12866168868466399</v>
      </c>
      <c r="CE28" s="36">
        <f t="shared" si="45"/>
        <v>0.10025706940874037</v>
      </c>
      <c r="CF28" s="36">
        <f t="shared" si="45"/>
        <v>0.1305158483530143</v>
      </c>
      <c r="CG28" s="109">
        <f t="shared" si="45"/>
        <v>0.11857948483462886</v>
      </c>
      <c r="CI28" s="36">
        <f>+CI21/CI8</f>
        <v>0.12262521588946459</v>
      </c>
      <c r="CJ28" s="36">
        <f t="shared" ref="CJ28:CM28" si="46">+CJ21/CJ8</f>
        <v>0.1236528644356211</v>
      </c>
      <c r="CK28" s="36">
        <f t="shared" si="46"/>
        <v>9.0442591404746628E-2</v>
      </c>
      <c r="CL28" s="36">
        <f t="shared" si="46"/>
        <v>0.12774338773213281</v>
      </c>
      <c r="CM28" s="109">
        <f t="shared" si="46"/>
        <v>0.11688121708601522</v>
      </c>
    </row>
    <row r="29" spans="1:251" ht="18.75" customHeight="1">
      <c r="A29" s="11" t="s">
        <v>203</v>
      </c>
      <c r="C29" s="13"/>
      <c r="D29" s="13"/>
      <c r="E29" s="13"/>
      <c r="F29" s="13"/>
      <c r="G29" s="18"/>
      <c r="H29" s="15"/>
      <c r="I29" s="13"/>
      <c r="J29" s="13"/>
      <c r="K29" s="13"/>
      <c r="L29" s="13"/>
      <c r="M29" s="18"/>
      <c r="O29" s="13"/>
      <c r="P29" s="13"/>
      <c r="Q29" s="13"/>
      <c r="R29" s="13"/>
      <c r="S29" s="18"/>
      <c r="U29" s="13"/>
      <c r="V29" s="13"/>
      <c r="W29" s="13"/>
      <c r="X29" s="13"/>
      <c r="Y29" s="18"/>
      <c r="AA29" s="13"/>
      <c r="AB29" s="13"/>
      <c r="AC29" s="13"/>
      <c r="AD29" s="13"/>
      <c r="AE29" s="18"/>
      <c r="AG29" s="13"/>
      <c r="AH29" s="13"/>
      <c r="AI29" s="13"/>
      <c r="AJ29" s="13"/>
      <c r="AK29" s="18"/>
      <c r="AM29" s="13"/>
      <c r="AN29" s="13"/>
      <c r="AO29" s="13"/>
      <c r="AP29" s="13"/>
      <c r="AQ29" s="18"/>
      <c r="AS29" s="13"/>
      <c r="AT29" s="13"/>
      <c r="AU29" s="13"/>
      <c r="AV29" s="13"/>
      <c r="AW29" s="18"/>
      <c r="AY29" s="13"/>
      <c r="AZ29" s="13"/>
      <c r="BA29" s="13"/>
      <c r="BB29" s="13"/>
      <c r="BC29" s="18"/>
      <c r="BE29" s="13"/>
      <c r="BF29" s="13"/>
      <c r="BG29" s="13"/>
      <c r="BH29" s="82"/>
      <c r="BI29" s="18"/>
      <c r="BK29" s="36"/>
      <c r="BL29" s="13"/>
      <c r="BM29" s="13"/>
      <c r="BN29" s="82"/>
      <c r="BO29" s="18"/>
      <c r="BQ29" s="36">
        <f t="shared" ref="BQ29:BT29" si="47">+BQ23/BQ11</f>
        <v>-0.18604651162790697</v>
      </c>
      <c r="BR29" s="36">
        <f t="shared" si="47"/>
        <v>-0.02</v>
      </c>
      <c r="BS29" s="36">
        <f t="shared" si="47"/>
        <v>5.4545454545454543E-2</v>
      </c>
      <c r="BT29" s="36">
        <f t="shared" si="47"/>
        <v>0.11290322580645161</v>
      </c>
      <c r="BU29" s="109">
        <f>+BU23/BU11</f>
        <v>4.7619047619047623E-3</v>
      </c>
      <c r="BW29" s="36">
        <f t="shared" ref="BW29:BZ29" si="48">+BW23/BW11</f>
        <v>-1.6949152542372881E-2</v>
      </c>
      <c r="BX29" s="36">
        <f t="shared" si="48"/>
        <v>-7.6923076923076927E-2</v>
      </c>
      <c r="BY29" s="36">
        <f t="shared" si="48"/>
        <v>-1.9607843137254902E-2</v>
      </c>
      <c r="BZ29" s="36">
        <f t="shared" si="48"/>
        <v>0.2</v>
      </c>
      <c r="CA29" s="109">
        <f>+CA23/CA11</f>
        <v>3.7974683544303799E-2</v>
      </c>
      <c r="CC29" s="36">
        <f t="shared" ref="CC29:CF29" si="49">+CC23/CC11</f>
        <v>-9.0909090909090912E-2</v>
      </c>
      <c r="CD29" s="36">
        <f t="shared" si="49"/>
        <v>-1.6129032258064516E-2</v>
      </c>
      <c r="CE29" s="36">
        <f t="shared" si="49"/>
        <v>3.2258064516129031E-2</v>
      </c>
      <c r="CF29" s="36">
        <f t="shared" si="49"/>
        <v>0.11494252873563218</v>
      </c>
      <c r="CG29" s="109">
        <f>+CG23/CG11</f>
        <v>2.2556390977443608E-2</v>
      </c>
      <c r="CI29" s="36">
        <f t="shared" ref="CI29:CK29" si="50">+CI23/CI11</f>
        <v>0</v>
      </c>
      <c r="CJ29" s="36">
        <f t="shared" si="50"/>
        <v>-2.9850746268656716E-2</v>
      </c>
      <c r="CK29" s="36">
        <f t="shared" si="50"/>
        <v>1.5384615384615385E-2</v>
      </c>
      <c r="CL29" s="36">
        <f>+CL23/CL11</f>
        <v>0.23655913978494625</v>
      </c>
      <c r="CM29" s="109">
        <f>+CM23/CM11</f>
        <v>7.2413793103448282E-2</v>
      </c>
    </row>
    <row r="30" spans="1:251">
      <c r="C30" s="13"/>
      <c r="D30" s="13"/>
      <c r="E30" s="13"/>
      <c r="F30" s="13"/>
      <c r="G30" s="18"/>
      <c r="H30" s="15"/>
      <c r="I30" s="13"/>
      <c r="J30" s="13"/>
      <c r="K30" s="13"/>
      <c r="L30" s="13"/>
      <c r="M30" s="18"/>
      <c r="O30" s="13"/>
      <c r="P30" s="13"/>
      <c r="Q30" s="13"/>
      <c r="R30" s="13"/>
      <c r="S30" s="18"/>
      <c r="U30" s="13"/>
      <c r="V30" s="13"/>
      <c r="W30" s="13"/>
      <c r="X30" s="13"/>
      <c r="Y30" s="18"/>
      <c r="AA30" s="13"/>
      <c r="AB30" s="13"/>
      <c r="AC30" s="13"/>
      <c r="AD30" s="13"/>
      <c r="AE30" s="18"/>
      <c r="AG30" s="13"/>
      <c r="AH30" s="13"/>
      <c r="AI30" s="13"/>
      <c r="AJ30" s="13"/>
      <c r="AK30" s="18"/>
      <c r="AM30" s="13"/>
      <c r="AN30" s="13"/>
      <c r="AO30" s="13"/>
      <c r="AP30" s="13"/>
      <c r="AQ30" s="18"/>
      <c r="AS30" s="13"/>
      <c r="AT30" s="13"/>
      <c r="AU30" s="13"/>
      <c r="AV30" s="13"/>
      <c r="AW30" s="18"/>
      <c r="AY30" s="13"/>
      <c r="AZ30" s="13"/>
      <c r="BA30" s="13"/>
      <c r="BB30" s="13"/>
      <c r="BC30" s="18"/>
      <c r="BE30" s="13"/>
      <c r="BF30" s="13"/>
      <c r="BG30" s="13"/>
      <c r="BH30" s="82"/>
      <c r="BI30" s="18"/>
      <c r="BK30" s="13"/>
      <c r="BL30" s="13"/>
      <c r="BM30" s="13"/>
      <c r="BN30" s="82"/>
      <c r="BO30" s="18"/>
      <c r="BQ30" s="13"/>
      <c r="BR30" s="13"/>
      <c r="BS30" s="13"/>
      <c r="BT30" s="82"/>
      <c r="BU30" s="18"/>
      <c r="BW30" s="13"/>
      <c r="BX30" s="13"/>
      <c r="BY30" s="13"/>
      <c r="BZ30" s="82"/>
      <c r="CA30" s="18"/>
      <c r="CC30" s="13"/>
      <c r="CD30" s="13"/>
      <c r="CE30" s="13"/>
      <c r="CF30" s="82"/>
      <c r="CG30" s="18"/>
      <c r="CI30" s="13"/>
      <c r="CJ30" s="13"/>
      <c r="CK30" s="13"/>
      <c r="CL30" s="82"/>
      <c r="CM30" s="18"/>
    </row>
    <row r="31" spans="1:251">
      <c r="A31" s="10" t="s">
        <v>1</v>
      </c>
      <c r="C31" s="13"/>
      <c r="D31" s="13"/>
      <c r="E31" s="13"/>
      <c r="F31" s="13"/>
      <c r="G31" s="14"/>
      <c r="H31" s="15"/>
      <c r="I31" s="13"/>
      <c r="J31" s="13"/>
      <c r="K31" s="13"/>
      <c r="L31" s="13"/>
      <c r="M31" s="14"/>
      <c r="O31" s="13"/>
      <c r="P31" s="13"/>
      <c r="Q31" s="13"/>
      <c r="R31" s="13"/>
      <c r="S31" s="14"/>
      <c r="U31" s="13"/>
      <c r="V31" s="13"/>
      <c r="W31" s="13"/>
      <c r="X31" s="13"/>
      <c r="Y31" s="14"/>
      <c r="AA31" s="13"/>
      <c r="AB31" s="13"/>
      <c r="AC31" s="13"/>
      <c r="AD31" s="13"/>
      <c r="AE31" s="14"/>
      <c r="AG31" s="13"/>
      <c r="AH31" s="13"/>
      <c r="AI31" s="13"/>
      <c r="AJ31" s="13"/>
      <c r="AK31" s="14"/>
      <c r="AM31" s="13"/>
      <c r="AN31" s="13"/>
      <c r="AO31" s="13"/>
      <c r="AP31" s="13"/>
      <c r="AQ31" s="14"/>
      <c r="AS31" s="13"/>
      <c r="AT31" s="13"/>
      <c r="AU31" s="13"/>
      <c r="AV31" s="13"/>
      <c r="AW31" s="14"/>
      <c r="AY31" s="13"/>
      <c r="AZ31" s="13"/>
      <c r="BA31" s="13"/>
      <c r="BB31" s="13"/>
      <c r="BC31" s="14"/>
      <c r="BE31" s="13"/>
      <c r="BF31" s="13"/>
      <c r="BG31" s="13"/>
      <c r="BH31" s="82"/>
      <c r="BI31" s="14"/>
      <c r="BK31" s="13"/>
      <c r="BL31" s="13"/>
      <c r="BM31" s="13"/>
      <c r="BN31" s="82"/>
      <c r="BO31" s="14"/>
      <c r="BQ31" s="13"/>
      <c r="BR31" s="13"/>
      <c r="BS31" s="13"/>
      <c r="BT31" s="82"/>
      <c r="BU31" s="14"/>
      <c r="BW31" s="13"/>
      <c r="BX31" s="13"/>
      <c r="BY31" s="13"/>
      <c r="BZ31" s="82"/>
      <c r="CA31" s="14"/>
      <c r="CC31" s="13"/>
      <c r="CD31" s="13"/>
      <c r="CE31" s="13"/>
      <c r="CF31" s="82"/>
      <c r="CG31" s="14"/>
      <c r="CI31" s="13"/>
      <c r="CJ31" s="13"/>
      <c r="CK31" s="13"/>
      <c r="CL31" s="82"/>
      <c r="CM31" s="14"/>
    </row>
    <row r="32" spans="1:251">
      <c r="A32" s="4" t="s">
        <v>148</v>
      </c>
      <c r="C32" s="13">
        <v>11</v>
      </c>
      <c r="D32" s="13">
        <v>145</v>
      </c>
      <c r="E32" s="13">
        <v>43</v>
      </c>
      <c r="F32" s="13">
        <v>53</v>
      </c>
      <c r="G32" s="14">
        <f>SUM(C32:F32)</f>
        <v>252</v>
      </c>
      <c r="H32" s="15"/>
      <c r="I32" s="13">
        <v>-4</v>
      </c>
      <c r="J32" s="13">
        <v>50</v>
      </c>
      <c r="K32" s="13">
        <v>35</v>
      </c>
      <c r="L32" s="13">
        <v>-93</v>
      </c>
      <c r="M32" s="14">
        <f>SUM(I32:L32)</f>
        <v>-12</v>
      </c>
      <c r="O32" s="13">
        <v>18</v>
      </c>
      <c r="P32" s="13">
        <v>49</v>
      </c>
      <c r="Q32" s="13">
        <v>66</v>
      </c>
      <c r="R32" s="13">
        <v>33</v>
      </c>
      <c r="S32" s="14">
        <f>SUM(O32:R32)</f>
        <v>166</v>
      </c>
      <c r="U32" s="13">
        <v>22</v>
      </c>
      <c r="V32" s="13">
        <v>64</v>
      </c>
      <c r="W32" s="13">
        <v>70</v>
      </c>
      <c r="X32" s="13">
        <v>34</v>
      </c>
      <c r="Y32" s="14">
        <f>SUM(U32:X32)</f>
        <v>190</v>
      </c>
      <c r="AA32" s="13">
        <v>22</v>
      </c>
      <c r="AB32" s="13">
        <v>61</v>
      </c>
      <c r="AC32" s="13">
        <v>62</v>
      </c>
      <c r="AD32" s="13">
        <v>44</v>
      </c>
      <c r="AE32" s="14">
        <f>SUM(AA32:AD32)</f>
        <v>189</v>
      </c>
      <c r="AG32" s="13">
        <v>23</v>
      </c>
      <c r="AH32" s="13">
        <v>62</v>
      </c>
      <c r="AI32" s="13">
        <v>79</v>
      </c>
      <c r="AJ32" s="13">
        <v>78</v>
      </c>
      <c r="AK32" s="14">
        <f>SUM(AG32:AJ32)</f>
        <v>242</v>
      </c>
      <c r="AM32" s="13">
        <v>62</v>
      </c>
      <c r="AN32" s="13">
        <v>99</v>
      </c>
      <c r="AO32" s="13">
        <v>120</v>
      </c>
      <c r="AP32" s="13">
        <v>82</v>
      </c>
      <c r="AQ32" s="14">
        <f>SUM(AM32:AP32)</f>
        <v>363</v>
      </c>
      <c r="AS32" s="13">
        <v>106</v>
      </c>
      <c r="AT32" s="13">
        <v>195</v>
      </c>
      <c r="AU32" s="13">
        <v>187</v>
      </c>
      <c r="AV32" s="13">
        <v>231</v>
      </c>
      <c r="AW32" s="14">
        <f>SUM(AS32:AV32)</f>
        <v>719</v>
      </c>
      <c r="AY32" s="13">
        <v>123</v>
      </c>
      <c r="AZ32" s="13">
        <v>191</v>
      </c>
      <c r="BA32" s="13">
        <v>161</v>
      </c>
      <c r="BB32" s="13">
        <v>30</v>
      </c>
      <c r="BC32" s="14">
        <f>SUM(AY32:BB32)</f>
        <v>505</v>
      </c>
      <c r="BE32" s="13">
        <v>15</v>
      </c>
      <c r="BF32" s="13">
        <v>145</v>
      </c>
      <c r="BG32" s="13">
        <v>118</v>
      </c>
      <c r="BH32" s="82">
        <v>95</v>
      </c>
      <c r="BI32" s="14">
        <f>SUM(BE32:BH32)</f>
        <v>373</v>
      </c>
      <c r="BK32" s="13">
        <v>60</v>
      </c>
      <c r="BL32" s="13">
        <v>81</v>
      </c>
      <c r="BM32" s="13">
        <v>142</v>
      </c>
      <c r="BN32" s="82">
        <v>46</v>
      </c>
      <c r="BO32" s="14">
        <f>SUM(BK32:BN32)</f>
        <v>329</v>
      </c>
      <c r="BQ32" s="13">
        <v>29</v>
      </c>
      <c r="BR32" s="13">
        <v>9</v>
      </c>
      <c r="BS32" s="13">
        <v>71</v>
      </c>
      <c r="BT32" s="82">
        <v>73</v>
      </c>
      <c r="BU32" s="14">
        <f>SUM(BQ32:BT32)</f>
        <v>182</v>
      </c>
      <c r="BW32" s="13">
        <f>-1+40</f>
        <v>39</v>
      </c>
      <c r="BX32" s="13">
        <v>45</v>
      </c>
      <c r="BY32" s="13">
        <v>103</v>
      </c>
      <c r="BZ32" s="82">
        <v>103</v>
      </c>
      <c r="CA32" s="14">
        <f>SUM(BW32:BZ32)</f>
        <v>290</v>
      </c>
      <c r="CC32" s="13">
        <v>43</v>
      </c>
      <c r="CD32" s="13">
        <v>70</v>
      </c>
      <c r="CE32" s="13">
        <v>103</v>
      </c>
      <c r="CF32" s="82">
        <f>119+37</f>
        <v>156</v>
      </c>
      <c r="CG32" s="14">
        <f>SUM(CC32:CF32)</f>
        <v>372</v>
      </c>
      <c r="CI32" s="13">
        <v>-6</v>
      </c>
      <c r="CJ32" s="13">
        <v>14</v>
      </c>
      <c r="CK32" s="13">
        <v>90</v>
      </c>
      <c r="CL32" s="82">
        <v>81</v>
      </c>
      <c r="CM32" s="14">
        <f>SUM(CI32:CL32)</f>
        <v>179</v>
      </c>
    </row>
    <row r="33" spans="1:246">
      <c r="A33" s="4" t="s">
        <v>211</v>
      </c>
      <c r="C33" s="13">
        <v>45</v>
      </c>
      <c r="D33" s="13">
        <v>28</v>
      </c>
      <c r="E33" s="13">
        <v>26</v>
      </c>
      <c r="F33" s="13">
        <v>33</v>
      </c>
      <c r="G33" s="14">
        <f t="shared" ref="G33:G38" si="51">SUM(C33:F33)</f>
        <v>132</v>
      </c>
      <c r="H33" s="15"/>
      <c r="I33" s="13">
        <v>38</v>
      </c>
      <c r="J33" s="13">
        <v>60</v>
      </c>
      <c r="K33" s="13">
        <v>56</v>
      </c>
      <c r="L33" s="13">
        <v>60</v>
      </c>
      <c r="M33" s="14">
        <f t="shared" ref="M33:M38" si="52">SUM(I33:L33)</f>
        <v>214</v>
      </c>
      <c r="O33" s="13">
        <v>70</v>
      </c>
      <c r="P33" s="13">
        <v>72</v>
      </c>
      <c r="Q33" s="13">
        <v>59</v>
      </c>
      <c r="R33" s="13">
        <v>75</v>
      </c>
      <c r="S33" s="14">
        <f t="shared" ref="S33:S38" si="53">SUM(O33:R33)</f>
        <v>276</v>
      </c>
      <c r="U33" s="13">
        <v>77</v>
      </c>
      <c r="V33" s="13">
        <v>100</v>
      </c>
      <c r="W33" s="13">
        <v>93</v>
      </c>
      <c r="X33" s="13">
        <v>101</v>
      </c>
      <c r="Y33" s="14">
        <f t="shared" ref="Y33:Y38" si="54">SUM(U33:X33)</f>
        <v>371</v>
      </c>
      <c r="AA33" s="13">
        <v>77</v>
      </c>
      <c r="AB33" s="13">
        <v>-82</v>
      </c>
      <c r="AC33" s="13">
        <v>93</v>
      </c>
      <c r="AD33" s="13">
        <v>101</v>
      </c>
      <c r="AE33" s="14">
        <f t="shared" ref="AE33:AE38" si="55">SUM(AA33:AD33)</f>
        <v>189</v>
      </c>
      <c r="AG33" s="13">
        <v>101</v>
      </c>
      <c r="AH33" s="13">
        <v>119</v>
      </c>
      <c r="AI33" s="13">
        <v>114</v>
      </c>
      <c r="AJ33" s="13">
        <v>135</v>
      </c>
      <c r="AK33" s="14">
        <f t="shared" ref="AK33:AK38" si="56">SUM(AG33:AJ33)</f>
        <v>469</v>
      </c>
      <c r="AM33" s="13">
        <v>117</v>
      </c>
      <c r="AN33" s="13">
        <v>269</v>
      </c>
      <c r="AO33" s="13">
        <v>126</v>
      </c>
      <c r="AP33" s="13">
        <v>124</v>
      </c>
      <c r="AQ33" s="14">
        <f t="shared" ref="AQ33:AQ38" si="57">SUM(AM33:AP33)</f>
        <v>636</v>
      </c>
      <c r="AS33" s="13">
        <v>146</v>
      </c>
      <c r="AT33" s="13">
        <v>174</v>
      </c>
      <c r="AU33" s="13">
        <v>134</v>
      </c>
      <c r="AV33" s="13">
        <v>180</v>
      </c>
      <c r="AW33" s="14">
        <f t="shared" ref="AW33:AW38" si="58">SUM(AS33:AV33)</f>
        <v>634</v>
      </c>
      <c r="AY33" s="13">
        <v>154</v>
      </c>
      <c r="AZ33" s="13">
        <v>193</v>
      </c>
      <c r="BA33" s="13">
        <v>105</v>
      </c>
      <c r="BB33" s="13">
        <v>111</v>
      </c>
      <c r="BC33" s="14">
        <f t="shared" ref="BC33:BC38" si="59">SUM(AY33:BB33)</f>
        <v>563</v>
      </c>
      <c r="BE33" s="13">
        <v>85</v>
      </c>
      <c r="BF33" s="13">
        <v>68</v>
      </c>
      <c r="BG33" s="13">
        <v>83</v>
      </c>
      <c r="BH33" s="82">
        <v>81</v>
      </c>
      <c r="BI33" s="14">
        <f t="shared" ref="BI33:BI38" si="60">SUM(BE33:BH33)</f>
        <v>317</v>
      </c>
      <c r="BK33" s="13">
        <v>150</v>
      </c>
      <c r="BL33" s="13">
        <v>167</v>
      </c>
      <c r="BM33" s="13">
        <v>104</v>
      </c>
      <c r="BN33" s="82">
        <v>105</v>
      </c>
      <c r="BO33" s="14">
        <f t="shared" ref="BO33:BO38" si="61">SUM(BK33:BN33)</f>
        <v>526</v>
      </c>
      <c r="BQ33" s="13">
        <v>175</v>
      </c>
      <c r="BR33" s="13">
        <v>193</v>
      </c>
      <c r="BS33" s="13">
        <v>157</v>
      </c>
      <c r="BT33" s="82">
        <v>174</v>
      </c>
      <c r="BU33" s="14">
        <f t="shared" ref="BU33:BU38" si="62">SUM(BQ33:BT33)</f>
        <v>699</v>
      </c>
      <c r="BW33" s="13">
        <v>195</v>
      </c>
      <c r="BX33" s="13">
        <v>198</v>
      </c>
      <c r="BY33" s="13">
        <v>146</v>
      </c>
      <c r="BZ33" s="82">
        <v>206</v>
      </c>
      <c r="CA33" s="14">
        <f t="shared" ref="CA33:CA38" si="63">SUM(BW33:BZ33)</f>
        <v>745</v>
      </c>
      <c r="CC33" s="13">
        <v>188</v>
      </c>
      <c r="CD33" s="13">
        <v>224</v>
      </c>
      <c r="CE33" s="13">
        <v>156</v>
      </c>
      <c r="CF33" s="82">
        <v>210</v>
      </c>
      <c r="CG33" s="14">
        <f t="shared" ref="CG33:CG38" si="64">SUM(CC33:CF33)</f>
        <v>778</v>
      </c>
      <c r="CI33" s="13">
        <v>310</v>
      </c>
      <c r="CJ33" s="13">
        <v>218</v>
      </c>
      <c r="CK33" s="13">
        <v>141</v>
      </c>
      <c r="CL33" s="82">
        <v>227</v>
      </c>
      <c r="CM33" s="14">
        <f t="shared" ref="CM33:CM38" si="65">SUM(CI33:CL33)</f>
        <v>896</v>
      </c>
    </row>
    <row r="34" spans="1:246" hidden="1">
      <c r="A34" s="4" t="s">
        <v>41</v>
      </c>
      <c r="C34" s="13">
        <v>13</v>
      </c>
      <c r="D34" s="13">
        <v>13</v>
      </c>
      <c r="E34" s="13">
        <v>11</v>
      </c>
      <c r="F34" s="13">
        <v>10</v>
      </c>
      <c r="G34" s="14">
        <f t="shared" si="51"/>
        <v>47</v>
      </c>
      <c r="H34" s="15"/>
      <c r="I34" s="13">
        <f>67</f>
        <v>67</v>
      </c>
      <c r="J34" s="13">
        <v>19</v>
      </c>
      <c r="K34" s="13">
        <v>47</v>
      </c>
      <c r="L34" s="13">
        <v>20</v>
      </c>
      <c r="M34" s="14">
        <f t="shared" si="52"/>
        <v>153</v>
      </c>
      <c r="O34" s="13">
        <v>6</v>
      </c>
      <c r="P34" s="13">
        <v>5</v>
      </c>
      <c r="Q34" s="13">
        <v>3</v>
      </c>
      <c r="R34" s="13">
        <v>14</v>
      </c>
      <c r="S34" s="14">
        <f t="shared" si="53"/>
        <v>28</v>
      </c>
      <c r="U34" s="13">
        <v>4</v>
      </c>
      <c r="V34" s="13">
        <v>5</v>
      </c>
      <c r="W34" s="13">
        <v>138</v>
      </c>
      <c r="X34" s="13">
        <v>45</v>
      </c>
      <c r="Y34" s="14">
        <f t="shared" si="54"/>
        <v>192</v>
      </c>
      <c r="AA34" s="13">
        <v>4</v>
      </c>
      <c r="AB34" s="13">
        <v>5</v>
      </c>
      <c r="AC34" s="13">
        <v>138</v>
      </c>
      <c r="AD34" s="13">
        <v>45</v>
      </c>
      <c r="AE34" s="14">
        <f t="shared" si="55"/>
        <v>192</v>
      </c>
      <c r="AG34" s="13">
        <v>4</v>
      </c>
      <c r="AH34" s="13">
        <v>2</v>
      </c>
      <c r="AI34" s="13">
        <v>0</v>
      </c>
      <c r="AJ34" s="13">
        <v>1</v>
      </c>
      <c r="AK34" s="14">
        <f t="shared" si="56"/>
        <v>7</v>
      </c>
      <c r="AM34" s="13"/>
      <c r="AN34" s="13"/>
      <c r="AO34" s="13"/>
      <c r="AP34" s="13"/>
      <c r="AQ34" s="14">
        <f t="shared" si="57"/>
        <v>0</v>
      </c>
      <c r="AS34" s="13"/>
      <c r="AT34" s="13"/>
      <c r="AU34" s="13"/>
      <c r="AV34" s="13" t="s">
        <v>78</v>
      </c>
      <c r="AW34" s="14">
        <f t="shared" si="58"/>
        <v>0</v>
      </c>
      <c r="AY34" s="13"/>
      <c r="AZ34" s="13"/>
      <c r="BA34" s="13"/>
      <c r="BB34" s="13"/>
      <c r="BC34" s="14">
        <f t="shared" si="59"/>
        <v>0</v>
      </c>
      <c r="BE34" s="13"/>
      <c r="BF34" s="13"/>
      <c r="BG34" s="13"/>
      <c r="BH34" s="82"/>
      <c r="BI34" s="14">
        <f t="shared" si="60"/>
        <v>0</v>
      </c>
      <c r="BK34" s="13"/>
      <c r="BL34" s="13"/>
      <c r="BM34" s="13"/>
      <c r="BN34" s="82"/>
      <c r="BO34" s="14">
        <f t="shared" si="61"/>
        <v>0</v>
      </c>
      <c r="BQ34" s="13"/>
      <c r="BR34" s="13"/>
      <c r="BS34" s="13"/>
      <c r="BT34" s="82"/>
      <c r="BU34" s="14">
        <f t="shared" si="62"/>
        <v>0</v>
      </c>
      <c r="BW34" s="13"/>
      <c r="BX34" s="13"/>
      <c r="BY34" s="13"/>
      <c r="BZ34" s="82"/>
      <c r="CA34" s="14">
        <f t="shared" si="63"/>
        <v>0</v>
      </c>
      <c r="CC34" s="13"/>
      <c r="CD34" s="13"/>
      <c r="CE34" s="13"/>
      <c r="CF34" s="82"/>
      <c r="CG34" s="14">
        <f t="shared" si="64"/>
        <v>0</v>
      </c>
      <c r="CI34" s="13"/>
      <c r="CJ34" s="13"/>
      <c r="CK34" s="13"/>
      <c r="CL34" s="82"/>
      <c r="CM34" s="14">
        <f t="shared" si="65"/>
        <v>0</v>
      </c>
    </row>
    <row r="35" spans="1:246">
      <c r="A35" s="4" t="s">
        <v>168</v>
      </c>
      <c r="C35" s="13">
        <v>-10</v>
      </c>
      <c r="D35" s="13">
        <v>6</v>
      </c>
      <c r="E35" s="13">
        <v>-5</v>
      </c>
      <c r="F35" s="13">
        <v>-8</v>
      </c>
      <c r="G35" s="14">
        <f t="shared" si="51"/>
        <v>-17</v>
      </c>
      <c r="H35" s="15"/>
      <c r="I35" s="13">
        <v>2</v>
      </c>
      <c r="J35" s="13">
        <v>-3</v>
      </c>
      <c r="K35" s="13">
        <v>-4</v>
      </c>
      <c r="L35" s="13">
        <v>-11</v>
      </c>
      <c r="M35" s="14">
        <f t="shared" si="52"/>
        <v>-16</v>
      </c>
      <c r="O35" s="13">
        <v>-7</v>
      </c>
      <c r="P35" s="13">
        <v>0</v>
      </c>
      <c r="Q35" s="13">
        <v>9</v>
      </c>
      <c r="R35" s="13">
        <v>-8</v>
      </c>
      <c r="S35" s="14">
        <f t="shared" si="53"/>
        <v>-6</v>
      </c>
      <c r="U35" s="13">
        <v>-10</v>
      </c>
      <c r="V35" s="13">
        <v>3</v>
      </c>
      <c r="W35" s="13">
        <v>-9</v>
      </c>
      <c r="X35" s="13">
        <v>-18</v>
      </c>
      <c r="Y35" s="14">
        <f t="shared" si="54"/>
        <v>-34</v>
      </c>
      <c r="AA35" s="13">
        <v>-9</v>
      </c>
      <c r="AB35" s="13">
        <v>-3</v>
      </c>
      <c r="AC35" s="13">
        <v>-8</v>
      </c>
      <c r="AD35" s="13">
        <v>-13</v>
      </c>
      <c r="AE35" s="14">
        <f t="shared" si="55"/>
        <v>-33</v>
      </c>
      <c r="AG35" s="13">
        <v>-4</v>
      </c>
      <c r="AH35" s="13">
        <v>-1</v>
      </c>
      <c r="AI35" s="13">
        <v>1</v>
      </c>
      <c r="AJ35" s="13">
        <v>14</v>
      </c>
      <c r="AK35" s="14">
        <f t="shared" si="56"/>
        <v>10</v>
      </c>
      <c r="AM35" s="13">
        <v>6</v>
      </c>
      <c r="AN35" s="13">
        <v>16</v>
      </c>
      <c r="AO35" s="13">
        <v>15</v>
      </c>
      <c r="AP35" s="13">
        <v>16</v>
      </c>
      <c r="AQ35" s="14">
        <f t="shared" si="57"/>
        <v>53</v>
      </c>
      <c r="AS35" s="13">
        <v>16</v>
      </c>
      <c r="AT35" s="13">
        <v>35</v>
      </c>
      <c r="AU35" s="13">
        <v>21</v>
      </c>
      <c r="AV35" s="13">
        <v>49</v>
      </c>
      <c r="AW35" s="14">
        <f t="shared" si="58"/>
        <v>121</v>
      </c>
      <c r="AY35" s="13">
        <v>47</v>
      </c>
      <c r="AZ35" s="13">
        <v>91</v>
      </c>
      <c r="BA35" s="13">
        <v>76</v>
      </c>
      <c r="BB35" s="13">
        <v>8</v>
      </c>
      <c r="BC35" s="14">
        <f t="shared" si="59"/>
        <v>222</v>
      </c>
      <c r="BE35" s="13">
        <v>37</v>
      </c>
      <c r="BF35" s="13">
        <v>43</v>
      </c>
      <c r="BG35" s="13">
        <v>39</v>
      </c>
      <c r="BH35" s="82">
        <v>17</v>
      </c>
      <c r="BI35" s="14">
        <f t="shared" si="60"/>
        <v>136</v>
      </c>
      <c r="BK35" s="13">
        <v>16</v>
      </c>
      <c r="BL35" s="13">
        <v>23</v>
      </c>
      <c r="BM35" s="13">
        <v>18</v>
      </c>
      <c r="BN35" s="82">
        <v>33</v>
      </c>
      <c r="BO35" s="14">
        <f t="shared" si="61"/>
        <v>90</v>
      </c>
      <c r="BQ35" s="57">
        <v>28</v>
      </c>
      <c r="BR35" s="57">
        <v>21</v>
      </c>
      <c r="BS35" s="57">
        <v>90</v>
      </c>
      <c r="BT35" s="57">
        <v>19</v>
      </c>
      <c r="BU35" s="14">
        <f t="shared" si="62"/>
        <v>158</v>
      </c>
      <c r="BW35" s="99">
        <v>0</v>
      </c>
      <c r="BX35" s="99">
        <v>0</v>
      </c>
      <c r="BY35" s="13">
        <v>0</v>
      </c>
      <c r="BZ35" s="82">
        <v>0</v>
      </c>
      <c r="CA35" s="14">
        <f t="shared" si="63"/>
        <v>0</v>
      </c>
      <c r="CC35" s="99"/>
      <c r="CD35" s="99"/>
      <c r="CE35" s="13"/>
      <c r="CF35" s="82"/>
      <c r="CG35" s="14">
        <f t="shared" si="64"/>
        <v>0</v>
      </c>
      <c r="CI35" s="99"/>
      <c r="CJ35" s="99"/>
      <c r="CK35" s="13"/>
      <c r="CL35" s="82"/>
      <c r="CM35" s="14">
        <f t="shared" si="65"/>
        <v>0</v>
      </c>
    </row>
    <row r="36" spans="1:246">
      <c r="A36" s="4" t="s">
        <v>146</v>
      </c>
      <c r="C36" s="13">
        <f>4-10</f>
        <v>-6</v>
      </c>
      <c r="D36" s="13">
        <v>-6</v>
      </c>
      <c r="E36" s="13">
        <f>22-30</f>
        <v>-8</v>
      </c>
      <c r="F36" s="13">
        <v>-19</v>
      </c>
      <c r="G36" s="14">
        <f t="shared" si="51"/>
        <v>-39</v>
      </c>
      <c r="H36" s="15"/>
      <c r="I36" s="13">
        <v>-20</v>
      </c>
      <c r="J36" s="13">
        <v>-17</v>
      </c>
      <c r="K36" s="13">
        <v>-18</v>
      </c>
      <c r="L36" s="13">
        <v>-26</v>
      </c>
      <c r="M36" s="14">
        <f t="shared" si="52"/>
        <v>-81</v>
      </c>
      <c r="O36" s="13">
        <v>-20</v>
      </c>
      <c r="P36" s="13">
        <v>-17</v>
      </c>
      <c r="Q36" s="13">
        <v>-19</v>
      </c>
      <c r="R36" s="13">
        <v>-20</v>
      </c>
      <c r="S36" s="14">
        <f t="shared" si="53"/>
        <v>-76</v>
      </c>
      <c r="U36" s="13">
        <v>-19</v>
      </c>
      <c r="V36" s="13">
        <v>-18</v>
      </c>
      <c r="W36" s="13">
        <v>-19</v>
      </c>
      <c r="X36" s="13">
        <v>-31</v>
      </c>
      <c r="Y36" s="14">
        <f t="shared" si="54"/>
        <v>-87</v>
      </c>
      <c r="AA36" s="13">
        <v>-19</v>
      </c>
      <c r="AB36" s="13">
        <v>-18</v>
      </c>
      <c r="AC36" s="13">
        <v>-19</v>
      </c>
      <c r="AD36" s="13">
        <v>-31</v>
      </c>
      <c r="AE36" s="14">
        <f t="shared" si="55"/>
        <v>-87</v>
      </c>
      <c r="AG36" s="13">
        <v>0</v>
      </c>
      <c r="AH36" s="13">
        <v>-4</v>
      </c>
      <c r="AI36" s="13">
        <v>-1</v>
      </c>
      <c r="AJ36" s="13">
        <v>-3</v>
      </c>
      <c r="AK36" s="14">
        <f t="shared" si="56"/>
        <v>-8</v>
      </c>
      <c r="AM36" s="13">
        <v>-5</v>
      </c>
      <c r="AN36" s="13">
        <v>-6</v>
      </c>
      <c r="AO36" s="13">
        <v>-7</v>
      </c>
      <c r="AP36" s="13">
        <v>0</v>
      </c>
      <c r="AQ36" s="14">
        <f t="shared" si="57"/>
        <v>-18</v>
      </c>
      <c r="AS36" s="13">
        <v>-9</v>
      </c>
      <c r="AT36" s="13">
        <v>-2</v>
      </c>
      <c r="AU36" s="13">
        <v>-3</v>
      </c>
      <c r="AV36" s="13">
        <v>-4</v>
      </c>
      <c r="AW36" s="14">
        <f t="shared" si="58"/>
        <v>-18</v>
      </c>
      <c r="AY36" s="13">
        <v>-13</v>
      </c>
      <c r="AZ36" s="13">
        <v>0</v>
      </c>
      <c r="BA36" s="13">
        <v>-5</v>
      </c>
      <c r="BB36" s="13">
        <v>-12</v>
      </c>
      <c r="BC36" s="14">
        <f t="shared" si="59"/>
        <v>-30</v>
      </c>
      <c r="BE36" s="13">
        <v>-8</v>
      </c>
      <c r="BF36" s="13">
        <v>-12</v>
      </c>
      <c r="BG36" s="13">
        <v>-9</v>
      </c>
      <c r="BH36" s="82">
        <v>-2</v>
      </c>
      <c r="BI36" s="14">
        <f t="shared" si="60"/>
        <v>-31</v>
      </c>
      <c r="BK36" s="13">
        <v>-6</v>
      </c>
      <c r="BL36" s="13">
        <v>-5</v>
      </c>
      <c r="BM36" s="13">
        <v>-2</v>
      </c>
      <c r="BN36" s="82">
        <v>2</v>
      </c>
      <c r="BO36" s="14">
        <f t="shared" si="61"/>
        <v>-11</v>
      </c>
      <c r="BQ36" s="13">
        <v>-8</v>
      </c>
      <c r="BR36" s="13">
        <v>-1</v>
      </c>
      <c r="BS36" s="13">
        <v>3</v>
      </c>
      <c r="BT36" s="82">
        <v>7</v>
      </c>
      <c r="BU36" s="14">
        <f t="shared" si="62"/>
        <v>1</v>
      </c>
      <c r="BW36" s="13">
        <v>-1</v>
      </c>
      <c r="BX36" s="13">
        <v>-4</v>
      </c>
      <c r="BY36" s="13">
        <v>-1</v>
      </c>
      <c r="BZ36" s="82">
        <v>15</v>
      </c>
      <c r="CA36" s="14">
        <f t="shared" si="63"/>
        <v>9</v>
      </c>
      <c r="CC36" s="13">
        <v>-5</v>
      </c>
      <c r="CD36" s="13">
        <v>-1</v>
      </c>
      <c r="CE36" s="13">
        <v>2</v>
      </c>
      <c r="CF36" s="82">
        <v>10</v>
      </c>
      <c r="CG36" s="14">
        <f t="shared" si="64"/>
        <v>6</v>
      </c>
      <c r="CI36" s="13">
        <v>0</v>
      </c>
      <c r="CJ36" s="13">
        <v>-2</v>
      </c>
      <c r="CK36" s="13">
        <v>1</v>
      </c>
      <c r="CL36" s="82">
        <v>22</v>
      </c>
      <c r="CM36" s="14">
        <f t="shared" si="65"/>
        <v>21</v>
      </c>
    </row>
    <row r="37" spans="1:246" hidden="1">
      <c r="A37" s="4" t="s">
        <v>47</v>
      </c>
      <c r="C37" s="13">
        <v>-8</v>
      </c>
      <c r="D37" s="13">
        <v>-9</v>
      </c>
      <c r="E37" s="13">
        <v>-10</v>
      </c>
      <c r="F37" s="13">
        <v>-9</v>
      </c>
      <c r="G37" s="14">
        <f t="shared" si="51"/>
        <v>-36</v>
      </c>
      <c r="H37" s="15"/>
      <c r="I37" s="13">
        <v>-14</v>
      </c>
      <c r="J37" s="13">
        <v>-20</v>
      </c>
      <c r="K37" s="13">
        <v>-13</v>
      </c>
      <c r="L37" s="13">
        <v>-22</v>
      </c>
      <c r="M37" s="14">
        <f t="shared" si="52"/>
        <v>-69</v>
      </c>
      <c r="O37" s="13">
        <v>-4</v>
      </c>
      <c r="P37" s="13">
        <v>-2</v>
      </c>
      <c r="Q37" s="13">
        <v>-6</v>
      </c>
      <c r="R37" s="13">
        <v>3</v>
      </c>
      <c r="S37" s="14">
        <f t="shared" si="53"/>
        <v>-9</v>
      </c>
      <c r="U37" s="13">
        <v>0</v>
      </c>
      <c r="V37" s="13">
        <v>0</v>
      </c>
      <c r="W37" s="13">
        <v>0</v>
      </c>
      <c r="X37" s="13">
        <v>0</v>
      </c>
      <c r="Y37" s="14">
        <f t="shared" si="54"/>
        <v>0</v>
      </c>
      <c r="AA37" s="13"/>
      <c r="AB37" s="13"/>
      <c r="AC37" s="13"/>
      <c r="AD37" s="13"/>
      <c r="AE37" s="14">
        <f t="shared" si="55"/>
        <v>0</v>
      </c>
      <c r="AG37" s="13"/>
      <c r="AH37" s="13"/>
      <c r="AI37" s="13"/>
      <c r="AJ37" s="13"/>
      <c r="AK37" s="14">
        <f t="shared" si="56"/>
        <v>0</v>
      </c>
      <c r="AM37" s="13"/>
      <c r="AN37" s="13"/>
      <c r="AO37" s="13"/>
      <c r="AP37" s="13"/>
      <c r="AQ37" s="14">
        <f t="shared" si="57"/>
        <v>0</v>
      </c>
      <c r="AS37" s="13"/>
      <c r="AT37" s="13"/>
      <c r="AU37" s="13"/>
      <c r="AV37" s="13"/>
      <c r="AW37" s="14">
        <f t="shared" si="58"/>
        <v>0</v>
      </c>
      <c r="AY37" s="13"/>
      <c r="AZ37" s="13"/>
      <c r="BA37" s="13"/>
      <c r="BB37" s="13"/>
      <c r="BC37" s="14">
        <f t="shared" si="59"/>
        <v>0</v>
      </c>
      <c r="BE37" s="13"/>
      <c r="BF37" s="13"/>
      <c r="BG37" s="13"/>
      <c r="BH37" s="82"/>
      <c r="BI37" s="14">
        <f t="shared" si="60"/>
        <v>0</v>
      </c>
      <c r="BK37" s="13"/>
      <c r="BL37" s="13"/>
      <c r="BM37" s="13"/>
      <c r="BN37" s="82"/>
      <c r="BO37" s="14">
        <f t="shared" si="61"/>
        <v>0</v>
      </c>
      <c r="BQ37" s="13"/>
      <c r="BR37" s="13"/>
      <c r="BS37" s="13"/>
      <c r="BT37" s="82"/>
      <c r="BU37" s="14">
        <f t="shared" si="62"/>
        <v>0</v>
      </c>
      <c r="BW37" s="13"/>
      <c r="BX37" s="13"/>
      <c r="BY37" s="13"/>
      <c r="BZ37" s="82"/>
      <c r="CA37" s="14">
        <f t="shared" si="63"/>
        <v>0</v>
      </c>
      <c r="CC37" s="13"/>
      <c r="CD37" s="13"/>
      <c r="CE37" s="13"/>
      <c r="CF37" s="82"/>
      <c r="CG37" s="14">
        <f t="shared" si="64"/>
        <v>0</v>
      </c>
      <c r="CI37" s="13"/>
      <c r="CJ37" s="13"/>
      <c r="CK37" s="13"/>
      <c r="CL37" s="82"/>
      <c r="CM37" s="14">
        <f t="shared" si="65"/>
        <v>0</v>
      </c>
    </row>
    <row r="38" spans="1:246">
      <c r="A38" s="4" t="s">
        <v>111</v>
      </c>
      <c r="C38" s="13">
        <f>-18+10</f>
        <v>-8</v>
      </c>
      <c r="D38" s="13">
        <v>-8</v>
      </c>
      <c r="E38" s="13">
        <f>-34+30</f>
        <v>-4</v>
      </c>
      <c r="F38" s="13">
        <v>-4</v>
      </c>
      <c r="G38" s="14">
        <f t="shared" si="51"/>
        <v>-24</v>
      </c>
      <c r="H38" s="15"/>
      <c r="I38" s="13">
        <v>-3</v>
      </c>
      <c r="J38" s="13">
        <v>-3</v>
      </c>
      <c r="K38" s="13">
        <v>-8</v>
      </c>
      <c r="L38" s="13">
        <v>-7</v>
      </c>
      <c r="M38" s="14">
        <f t="shared" si="52"/>
        <v>-21</v>
      </c>
      <c r="O38" s="13">
        <v>3</v>
      </c>
      <c r="P38" s="13">
        <v>-6</v>
      </c>
      <c r="Q38" s="13">
        <v>-4</v>
      </c>
      <c r="R38" s="13">
        <v>14</v>
      </c>
      <c r="S38" s="14">
        <f t="shared" si="53"/>
        <v>7</v>
      </c>
      <c r="U38" s="13">
        <v>-3</v>
      </c>
      <c r="V38" s="13">
        <v>-5</v>
      </c>
      <c r="W38" s="13">
        <v>-2</v>
      </c>
      <c r="X38" s="13">
        <v>-6</v>
      </c>
      <c r="Y38" s="14">
        <f t="shared" si="54"/>
        <v>-16</v>
      </c>
      <c r="AA38" s="13">
        <v>-7</v>
      </c>
      <c r="AB38" s="13">
        <v>0</v>
      </c>
      <c r="AC38" s="13">
        <v>-3</v>
      </c>
      <c r="AD38" s="13">
        <v>-7</v>
      </c>
      <c r="AE38" s="14">
        <f t="shared" si="55"/>
        <v>-17</v>
      </c>
      <c r="AG38" s="13">
        <v>1</v>
      </c>
      <c r="AH38" s="13">
        <v>-4</v>
      </c>
      <c r="AI38" s="13">
        <v>-3</v>
      </c>
      <c r="AJ38" s="13">
        <v>-1</v>
      </c>
      <c r="AK38" s="14">
        <f t="shared" si="56"/>
        <v>-7</v>
      </c>
      <c r="AM38" s="13">
        <v>-4</v>
      </c>
      <c r="AN38" s="13">
        <v>-5</v>
      </c>
      <c r="AO38" s="13">
        <v>1</v>
      </c>
      <c r="AP38" s="13">
        <v>-4</v>
      </c>
      <c r="AQ38" s="14">
        <f t="shared" si="57"/>
        <v>-12</v>
      </c>
      <c r="AS38" s="13">
        <v>-3</v>
      </c>
      <c r="AT38" s="13">
        <v>-5</v>
      </c>
      <c r="AU38" s="13">
        <v>-6</v>
      </c>
      <c r="AV38" s="13">
        <v>-9</v>
      </c>
      <c r="AW38" s="14">
        <f t="shared" si="58"/>
        <v>-23</v>
      </c>
      <c r="AY38" s="13">
        <v>-6</v>
      </c>
      <c r="AZ38" s="13">
        <v>-14</v>
      </c>
      <c r="BA38" s="13">
        <v>-8</v>
      </c>
      <c r="BB38" s="13">
        <v>-14</v>
      </c>
      <c r="BC38" s="14">
        <f t="shared" si="59"/>
        <v>-42</v>
      </c>
      <c r="BE38" s="13">
        <v>-2</v>
      </c>
      <c r="BF38" s="13">
        <v>-7</v>
      </c>
      <c r="BG38" s="13">
        <v>-6</v>
      </c>
      <c r="BH38" s="82">
        <v>3</v>
      </c>
      <c r="BI38" s="14">
        <f t="shared" si="60"/>
        <v>-12</v>
      </c>
      <c r="BK38" s="13">
        <v>-7</v>
      </c>
      <c r="BL38" s="13">
        <v>-8</v>
      </c>
      <c r="BM38" s="13">
        <v>-12</v>
      </c>
      <c r="BN38" s="82">
        <v>-8</v>
      </c>
      <c r="BO38" s="14">
        <f t="shared" si="61"/>
        <v>-35</v>
      </c>
      <c r="BQ38" s="13">
        <v>-8</v>
      </c>
      <c r="BR38" s="13">
        <v>-12</v>
      </c>
      <c r="BS38" s="13">
        <v>-9</v>
      </c>
      <c r="BT38" s="82">
        <v>-8</v>
      </c>
      <c r="BU38" s="14">
        <f t="shared" si="62"/>
        <v>-37</v>
      </c>
      <c r="BW38" s="13">
        <f>-6+1</f>
        <v>-5</v>
      </c>
      <c r="BX38" s="13">
        <v>-10</v>
      </c>
      <c r="BY38" s="13">
        <v>-9</v>
      </c>
      <c r="BZ38" s="82">
        <v>-11</v>
      </c>
      <c r="CA38" s="14">
        <f t="shared" si="63"/>
        <v>-35</v>
      </c>
      <c r="CC38" s="13">
        <v>-9</v>
      </c>
      <c r="CD38" s="13">
        <v>-14</v>
      </c>
      <c r="CE38" s="13">
        <v>-20</v>
      </c>
      <c r="CF38" s="82">
        <v>-10</v>
      </c>
      <c r="CG38" s="14">
        <f t="shared" si="64"/>
        <v>-53</v>
      </c>
      <c r="CI38" s="13">
        <v>-8</v>
      </c>
      <c r="CJ38" s="13">
        <v>-8</v>
      </c>
      <c r="CK38" s="13">
        <v>-6</v>
      </c>
      <c r="CL38" s="82">
        <v>-13</v>
      </c>
      <c r="CM38" s="14">
        <f t="shared" si="65"/>
        <v>-35</v>
      </c>
    </row>
    <row r="39" spans="1:246" s="11" customFormat="1" ht="18.75" customHeight="1">
      <c r="B39" s="6"/>
      <c r="C39" s="16">
        <f>SUM(C31:C38)</f>
        <v>37</v>
      </c>
      <c r="D39" s="16">
        <f>SUM(D31:D38)</f>
        <v>169</v>
      </c>
      <c r="E39" s="16">
        <f>SUM(E31:E38)</f>
        <v>53</v>
      </c>
      <c r="F39" s="16">
        <f>SUM(F31:F38)</f>
        <v>56</v>
      </c>
      <c r="G39" s="17">
        <f>SUM(G31:G38)</f>
        <v>315</v>
      </c>
      <c r="H39" s="15"/>
      <c r="I39" s="16">
        <f>SUM(I31:I38)</f>
        <v>66</v>
      </c>
      <c r="J39" s="16">
        <f>SUM(J31:J38)</f>
        <v>86</v>
      </c>
      <c r="K39" s="16">
        <f>SUM(K31:K38)</f>
        <v>95</v>
      </c>
      <c r="L39" s="16">
        <f>SUM(L31:L38)</f>
        <v>-79</v>
      </c>
      <c r="M39" s="17">
        <f>SUM(M31:M38)</f>
        <v>168</v>
      </c>
      <c r="O39" s="16">
        <f>SUM(O31:O38)</f>
        <v>66</v>
      </c>
      <c r="P39" s="16">
        <f>SUM(P31:P38)</f>
        <v>101</v>
      </c>
      <c r="Q39" s="16">
        <f>SUM(Q31:Q38)</f>
        <v>108</v>
      </c>
      <c r="R39" s="16">
        <f>SUM(R31:R38)</f>
        <v>111</v>
      </c>
      <c r="S39" s="17">
        <f>SUM(S31:S38)</f>
        <v>386</v>
      </c>
      <c r="U39" s="16">
        <f>SUM(U31:U38)</f>
        <v>71</v>
      </c>
      <c r="V39" s="16">
        <f>SUM(V31:V38)</f>
        <v>149</v>
      </c>
      <c r="W39" s="16">
        <f>SUM(W31:W38)</f>
        <v>271</v>
      </c>
      <c r="X39" s="16">
        <f>SUM(X31:X38)</f>
        <v>125</v>
      </c>
      <c r="Y39" s="17">
        <f>SUM(Y31:Y38)</f>
        <v>616</v>
      </c>
      <c r="AA39" s="16">
        <f>SUM(AA31:AA38)</f>
        <v>68</v>
      </c>
      <c r="AB39" s="16">
        <f>SUM(AB31:AB38)</f>
        <v>-37</v>
      </c>
      <c r="AC39" s="16">
        <f>SUM(AC31:AC38)</f>
        <v>263</v>
      </c>
      <c r="AD39" s="16">
        <f>SUM(AD31:AD38)</f>
        <v>139</v>
      </c>
      <c r="AE39" s="17">
        <f>SUM(AE31:AE38)</f>
        <v>433</v>
      </c>
      <c r="AG39" s="16">
        <f>SUM(AG31:AG38)</f>
        <v>125</v>
      </c>
      <c r="AH39" s="16">
        <f>SUM(AH31:AH38)</f>
        <v>174</v>
      </c>
      <c r="AI39" s="16">
        <f>SUM(AI31:AI38)</f>
        <v>190</v>
      </c>
      <c r="AJ39" s="16">
        <f>SUM(AJ31:AJ38)</f>
        <v>224</v>
      </c>
      <c r="AK39" s="17">
        <f>SUM(AK31:AK38)</f>
        <v>713</v>
      </c>
      <c r="AM39" s="16">
        <f>SUM(AM31:AM38)</f>
        <v>176</v>
      </c>
      <c r="AN39" s="16">
        <f>SUM(AN31:AN38)</f>
        <v>373</v>
      </c>
      <c r="AO39" s="16">
        <f>SUM(AO31:AO38)</f>
        <v>255</v>
      </c>
      <c r="AP39" s="16">
        <f>SUM(AP31:AP38)</f>
        <v>218</v>
      </c>
      <c r="AQ39" s="17">
        <f>SUM(AQ31:AQ38)</f>
        <v>1022</v>
      </c>
      <c r="AS39" s="16">
        <f>SUM(AS31:AS38)</f>
        <v>256</v>
      </c>
      <c r="AT39" s="16">
        <f>SUM(AT31:AT38)</f>
        <v>397</v>
      </c>
      <c r="AU39" s="16">
        <f>SUM(AU31:AU38)</f>
        <v>333</v>
      </c>
      <c r="AV39" s="16">
        <f>SUM(AV31:AV38)</f>
        <v>447</v>
      </c>
      <c r="AW39" s="17">
        <f>SUM(AW31:AW38)</f>
        <v>1433</v>
      </c>
      <c r="AY39" s="16">
        <f>SUM(AY31:AY38)</f>
        <v>305</v>
      </c>
      <c r="AZ39" s="16">
        <f>SUM(AZ31:AZ38)</f>
        <v>461</v>
      </c>
      <c r="BA39" s="16">
        <f>SUM(BA31:BA38)</f>
        <v>329</v>
      </c>
      <c r="BB39" s="16">
        <f>SUM(BB31:BB38)</f>
        <v>123</v>
      </c>
      <c r="BC39" s="17">
        <f>SUM(BC31:BC38)</f>
        <v>1218</v>
      </c>
      <c r="BE39" s="16">
        <f>SUM(BE31:BE38)</f>
        <v>127</v>
      </c>
      <c r="BF39" s="16">
        <f>SUM(BF31:BF38)</f>
        <v>237</v>
      </c>
      <c r="BG39" s="16">
        <f>SUM(BG31:BG38)</f>
        <v>225</v>
      </c>
      <c r="BH39" s="16">
        <f>SUM(BH31:BH38)</f>
        <v>194</v>
      </c>
      <c r="BI39" s="17">
        <f>SUM(BI31:BI38)</f>
        <v>783</v>
      </c>
      <c r="BK39" s="16">
        <f>SUM(BK31:BK38)</f>
        <v>213</v>
      </c>
      <c r="BL39" s="16">
        <f>SUM(BL31:BL38)</f>
        <v>258</v>
      </c>
      <c r="BM39" s="16">
        <f>SUM(BM31:BM38)</f>
        <v>250</v>
      </c>
      <c r="BN39" s="16">
        <f>SUM(BN31:BN38)</f>
        <v>178</v>
      </c>
      <c r="BO39" s="17">
        <f>SUM(BO31:BO38)</f>
        <v>899</v>
      </c>
      <c r="BQ39" s="16">
        <f>SUM(BQ31:BQ38)</f>
        <v>216</v>
      </c>
      <c r="BR39" s="16">
        <f>SUM(BR31:BR38)</f>
        <v>210</v>
      </c>
      <c r="BS39" s="16">
        <f>SUM(BS31:BS38)</f>
        <v>312</v>
      </c>
      <c r="BT39" s="16">
        <f>SUM(BT31:BT38)</f>
        <v>265</v>
      </c>
      <c r="BU39" s="17">
        <f>SUM(BU31:BU38)</f>
        <v>1003</v>
      </c>
      <c r="BW39" s="16">
        <f>SUM(BW31:BW38)</f>
        <v>228</v>
      </c>
      <c r="BX39" s="16">
        <f>SUM(BX31:BX38)</f>
        <v>229</v>
      </c>
      <c r="BY39" s="16">
        <f>SUM(BY31:BY38)</f>
        <v>239</v>
      </c>
      <c r="BZ39" s="16">
        <f>SUM(BZ31:BZ38)</f>
        <v>313</v>
      </c>
      <c r="CA39" s="17">
        <f>SUM(CA31:CA38)</f>
        <v>1009</v>
      </c>
      <c r="CC39" s="16">
        <f>SUM(CC31:CC38)</f>
        <v>217</v>
      </c>
      <c r="CD39" s="16">
        <f>SUM(CD31:CD38)</f>
        <v>279</v>
      </c>
      <c r="CE39" s="16">
        <f>SUM(CE31:CE38)</f>
        <v>241</v>
      </c>
      <c r="CF39" s="16">
        <f>SUM(CF31:CF38)</f>
        <v>366</v>
      </c>
      <c r="CG39" s="17">
        <f>SUM(CG31:CG38)</f>
        <v>1103</v>
      </c>
      <c r="CI39" s="16">
        <f>SUM(CI31:CI38)</f>
        <v>296</v>
      </c>
      <c r="CJ39" s="16">
        <f>SUM(CJ31:CJ38)</f>
        <v>222</v>
      </c>
      <c r="CK39" s="16">
        <f>SUM(CK31:CK38)</f>
        <v>226</v>
      </c>
      <c r="CL39" s="16">
        <f>SUM(CL31:CL38)</f>
        <v>317</v>
      </c>
      <c r="CM39" s="17">
        <f>SUM(CM31:CM38)</f>
        <v>1061</v>
      </c>
      <c r="CO39" s="18"/>
      <c r="IL39" s="12"/>
    </row>
    <row r="40" spans="1:246" s="11" customFormat="1" ht="18.75" customHeight="1">
      <c r="A40" s="11" t="s">
        <v>48</v>
      </c>
      <c r="B40" s="6"/>
      <c r="C40" s="36" t="s">
        <v>78</v>
      </c>
      <c r="D40" s="36">
        <f>D39/D14</f>
        <v>0.10047562425683709</v>
      </c>
      <c r="E40" s="36">
        <f>E39/E14</f>
        <v>3.2695866748920423E-2</v>
      </c>
      <c r="F40" s="36">
        <f>F39/F14</f>
        <v>3.533123028391167E-2</v>
      </c>
      <c r="G40" s="37">
        <f>G39/G14</f>
        <v>4.9019607843137254E-2</v>
      </c>
      <c r="H40" s="15"/>
      <c r="I40" s="36">
        <f>I39/I14</f>
        <v>4.8852701702442637E-2</v>
      </c>
      <c r="J40" s="36">
        <f>J39/J14</f>
        <v>5.6209150326797387E-2</v>
      </c>
      <c r="K40" s="36">
        <f>K39/K14</f>
        <v>6.25E-2</v>
      </c>
      <c r="L40" s="36">
        <f>L39/L14</f>
        <v>-5.3091397849462367E-2</v>
      </c>
      <c r="M40" s="37">
        <f>M39/M14</f>
        <v>2.8527763627101375E-2</v>
      </c>
      <c r="O40" s="36">
        <f>O39/O14</f>
        <v>4.9475262368815595E-2</v>
      </c>
      <c r="P40" s="36">
        <f>P39/P14</f>
        <v>6.8801089918256134E-2</v>
      </c>
      <c r="Q40" s="36">
        <f>Q39/Q14</f>
        <v>7.0496083550913843E-2</v>
      </c>
      <c r="R40" s="36">
        <f>R39/R14</f>
        <v>7.449664429530202E-2</v>
      </c>
      <c r="S40" s="37">
        <f>S39/S14</f>
        <v>6.6277472527472528E-2</v>
      </c>
      <c r="U40" s="36">
        <f>U39/U14</f>
        <v>4.9650349650349652E-2</v>
      </c>
      <c r="V40" s="36">
        <f>V39/V14</f>
        <v>7.4499999999999997E-2</v>
      </c>
      <c r="W40" s="36">
        <f>W39/W14</f>
        <v>0.12687265917602997</v>
      </c>
      <c r="X40" s="36">
        <f>X39/X14</f>
        <v>5.7897174617878647E-2</v>
      </c>
      <c r="Y40" s="37">
        <f>Y39/Y14</f>
        <v>7.9741100323624595E-2</v>
      </c>
      <c r="AA40" s="36">
        <f>AA39/AA14</f>
        <v>5.2147239263803678E-2</v>
      </c>
      <c r="AB40" s="36">
        <f>AB39/AB14</f>
        <v>-1.9946091644204852E-2</v>
      </c>
      <c r="AC40" s="36">
        <f>AC39/AC14</f>
        <v>0.13302984319676278</v>
      </c>
      <c r="AD40" s="36">
        <f>AD39/AD14</f>
        <v>6.9430569430569425E-2</v>
      </c>
      <c r="AE40" s="37">
        <f>AE39/AE14</f>
        <v>6.0661249649761835E-2</v>
      </c>
      <c r="AG40" s="36">
        <f>AG39/AG14</f>
        <v>6.6988210075026797E-2</v>
      </c>
      <c r="AH40" s="36">
        <f>AH39/AH14</f>
        <v>7.5916230366492143E-2</v>
      </c>
      <c r="AI40" s="36">
        <f>AI39/AI14</f>
        <v>8.5163603765127743E-2</v>
      </c>
      <c r="AJ40" s="36">
        <f>AJ39/AJ14</f>
        <v>9.4875052943667937E-2</v>
      </c>
      <c r="AK40" s="37">
        <f>AK39/AK14</f>
        <v>8.1485714285714286E-2</v>
      </c>
      <c r="AM40" s="36">
        <f>AM39/AM14</f>
        <v>7.2968490878938641E-2</v>
      </c>
      <c r="AN40" s="36">
        <f>AN39/AN14</f>
        <v>0.13147691223123018</v>
      </c>
      <c r="AO40" s="36">
        <f>AO39/AO14</f>
        <v>9.4339622641509441E-2</v>
      </c>
      <c r="AP40" s="36">
        <f>AP39/AP14</f>
        <v>7.6143904994760744E-2</v>
      </c>
      <c r="AQ40" s="37">
        <f>AQ39/AQ14</f>
        <v>9.4498381877022655E-2</v>
      </c>
      <c r="AS40" s="36">
        <f>AS39/AS14</f>
        <v>8.1789137380191695E-2</v>
      </c>
      <c r="AT40" s="36">
        <f>AT39/AT14</f>
        <v>0.10991140642303433</v>
      </c>
      <c r="AU40" s="36">
        <f>AU39/AU14</f>
        <v>9.9225268176400483E-2</v>
      </c>
      <c r="AV40" s="36">
        <f>AV39/AV14</f>
        <v>0.13043478260869565</v>
      </c>
      <c r="AW40" s="37">
        <f>AW39/AW14</f>
        <v>0.10595194085027726</v>
      </c>
      <c r="AY40" s="36">
        <f>AY39/AY14</f>
        <v>9.0612002376708259E-2</v>
      </c>
      <c r="AZ40" s="36">
        <f>AZ39/AZ14</f>
        <v>0.12166798627606229</v>
      </c>
      <c r="BA40" s="36">
        <f>BA39/BA14</f>
        <v>9.3253968253968256E-2</v>
      </c>
      <c r="BB40" s="36">
        <f>BB39/BB14</f>
        <v>3.9109697933227348E-2</v>
      </c>
      <c r="BC40" s="37">
        <f>BC39/BC14</f>
        <v>8.8082152155047735E-2</v>
      </c>
      <c r="BE40" s="36">
        <f>BE39/BE14</f>
        <v>4.8197343453510434E-2</v>
      </c>
      <c r="BF40" s="36">
        <f>BF39/BF14</f>
        <v>7.5381679389312978E-2</v>
      </c>
      <c r="BG40" s="36">
        <f>BG39/BG14</f>
        <v>7.5478027507547799E-2</v>
      </c>
      <c r="BH40" s="36">
        <f>BH39/BH14</f>
        <v>6.6279467031089848E-2</v>
      </c>
      <c r="BI40" s="37">
        <f>BI39/BI14</f>
        <v>6.699751861042183E-2</v>
      </c>
      <c r="BK40" s="36">
        <f>BK39/BK14</f>
        <v>6.9562377531025468E-2</v>
      </c>
      <c r="BL40" s="36">
        <f>BL39/BL14</f>
        <v>7.0976616231086656E-2</v>
      </c>
      <c r="BM40" s="36">
        <f>BM39/BM14</f>
        <v>6.7114093959731544E-2</v>
      </c>
      <c r="BN40" s="36">
        <f>BN39/BN14</f>
        <v>4.4179697195333829E-2</v>
      </c>
      <c r="BO40" s="37">
        <f>BO39/BO14</f>
        <v>6.2210227665905476E-2</v>
      </c>
      <c r="BQ40" s="36">
        <f>BQ39/BQ14</f>
        <v>5.7233704292527825E-2</v>
      </c>
      <c r="BR40" s="36">
        <f>BR39/BR14</f>
        <v>5.2290836653386456E-2</v>
      </c>
      <c r="BS40" s="36">
        <f>BS39/BS14</f>
        <v>7.9754601226993863E-2</v>
      </c>
      <c r="BT40" s="36">
        <f>BT39/BT14</f>
        <v>6.791389031266018E-2</v>
      </c>
      <c r="BU40" s="37">
        <f>BU39/BU14</f>
        <v>6.4278390156370158E-2</v>
      </c>
      <c r="BW40" s="36">
        <f>BW39/BW14</f>
        <v>6.4570943075615977E-2</v>
      </c>
      <c r="BX40" s="36">
        <f>BX39/BX14</f>
        <v>5.8657786885245901E-2</v>
      </c>
      <c r="BY40" s="36">
        <f>BY39/BY14</f>
        <v>6.2631027253668758E-2</v>
      </c>
      <c r="BZ40" s="36">
        <f>BZ39/BZ14</f>
        <v>7.8210894552723634E-2</v>
      </c>
      <c r="CA40" s="37">
        <f>CA39/CA14</f>
        <v>6.6150921130269449E-2</v>
      </c>
      <c r="CC40" s="36">
        <f>CC39/CC14</f>
        <v>6.1840980336278141E-2</v>
      </c>
      <c r="CD40" s="36">
        <f>CD39/CD14</f>
        <v>6.9093610698365532E-2</v>
      </c>
      <c r="CE40" s="36">
        <f>CE39/CE14</f>
        <v>5.9112092224675006E-2</v>
      </c>
      <c r="CF40" s="36">
        <f>CF39/CF14</f>
        <v>8.7455197132616486E-2</v>
      </c>
      <c r="CG40" s="37">
        <f>CG39/CG14</f>
        <v>6.9770383958504656E-2</v>
      </c>
      <c r="CI40" s="36">
        <f>CI39/CI14</f>
        <v>7.6584734799482537E-2</v>
      </c>
      <c r="CJ40" s="36">
        <f>CJ39/CJ14</f>
        <v>5.5114200595829194E-2</v>
      </c>
      <c r="CK40" s="36">
        <f>CK39/CK14</f>
        <v>5.7273188038520023E-2</v>
      </c>
      <c r="CL40" s="36">
        <f>CL39/CL14</f>
        <v>7.8777335984095434E-2</v>
      </c>
      <c r="CM40" s="37">
        <f>CM39/CM14</f>
        <v>6.6885204564079939E-2</v>
      </c>
      <c r="IL40" s="35"/>
    </row>
    <row r="41" spans="1:246" s="11" customFormat="1" ht="18.75" customHeight="1">
      <c r="A41" s="11" t="s">
        <v>115</v>
      </c>
      <c r="B41" s="6"/>
      <c r="C41" s="36">
        <f>C32/C7</f>
        <v>1.5850144092219021E-2</v>
      </c>
      <c r="D41" s="36">
        <f>D32/D7</f>
        <v>0.18424396442185514</v>
      </c>
      <c r="E41" s="36">
        <f>E32/E7</f>
        <v>5.3020961775585698E-2</v>
      </c>
      <c r="F41" s="36">
        <f>F32/F7</f>
        <v>7.0950468540829981E-2</v>
      </c>
      <c r="G41" s="37">
        <f>G32/G7</f>
        <v>8.2922013820335636E-2</v>
      </c>
      <c r="H41" s="15"/>
      <c r="I41" s="36">
        <f>I32/I7</f>
        <v>-6.7453625632377737E-3</v>
      </c>
      <c r="J41" s="36">
        <f>J32/J7</f>
        <v>6.8399452804377564E-2</v>
      </c>
      <c r="K41" s="36">
        <f>K32/K7</f>
        <v>4.5395590142671853E-2</v>
      </c>
      <c r="L41" s="36">
        <f>L32/L7</f>
        <v>-0.12827586206896552</v>
      </c>
      <c r="M41" s="37">
        <f>M32/M7</f>
        <v>-4.2553191489361703E-3</v>
      </c>
      <c r="O41" s="36">
        <f>O32/O7</f>
        <v>3.2200357781753133E-2</v>
      </c>
      <c r="P41" s="36">
        <f>P32/P7</f>
        <v>7.1220930232558141E-2</v>
      </c>
      <c r="Q41" s="36">
        <f>Q32/Q7</f>
        <v>8.6049543676662316E-2</v>
      </c>
      <c r="R41" s="36">
        <f>R32/R7</f>
        <v>4.6875E-2</v>
      </c>
      <c r="S41" s="37">
        <f>S32/S7</f>
        <v>6.1074319352465045E-2</v>
      </c>
      <c r="U41" s="36">
        <f>U32/U7</f>
        <v>3.273809523809524E-2</v>
      </c>
      <c r="V41" s="36">
        <f>V32/V7</f>
        <v>7.7669902912621352E-2</v>
      </c>
      <c r="W41" s="36">
        <f>W32/W7</f>
        <v>7.6754385964912283E-2</v>
      </c>
      <c r="X41" s="36">
        <f>X32/X7</f>
        <v>3.7117903930131008E-2</v>
      </c>
      <c r="Y41" s="37">
        <f>Y32/Y7</f>
        <v>5.7160048134777375E-2</v>
      </c>
      <c r="AA41" s="36">
        <f>AA32/AA7</f>
        <v>3.8062283737024222E-2</v>
      </c>
      <c r="AB41" s="36">
        <f>AB32/AB7</f>
        <v>8.3791208791208785E-2</v>
      </c>
      <c r="AC41" s="36">
        <f>AC32/AC7</f>
        <v>7.6827757125154897E-2</v>
      </c>
      <c r="AD41" s="36">
        <f>AD32/AD7</f>
        <v>5.3593179049939099E-2</v>
      </c>
      <c r="AE41" s="37">
        <f>AE32/AE7</f>
        <v>6.4417177914110432E-2</v>
      </c>
      <c r="AG41" s="36">
        <f>AG32/AG7</f>
        <v>3.5714285714285712E-2</v>
      </c>
      <c r="AH41" s="36">
        <f>AH32/AH7</f>
        <v>7.1264367816091953E-2</v>
      </c>
      <c r="AI41" s="36">
        <f>AI32/AI7</f>
        <v>8.2809224318658281E-2</v>
      </c>
      <c r="AJ41" s="36">
        <f>AJ32/AJ7</f>
        <v>7.3515551366635248E-2</v>
      </c>
      <c r="AK41" s="37">
        <f>AK32/AK7</f>
        <v>6.857466704448853E-2</v>
      </c>
      <c r="AM41" s="36">
        <f>AM32/AM7</f>
        <v>6.0019361084220714E-2</v>
      </c>
      <c r="AN41" s="36">
        <f>AN32/AN7</f>
        <v>7.2104879825200294E-2</v>
      </c>
      <c r="AO41" s="36">
        <f>AO32/AO7</f>
        <v>8.6330935251798566E-2</v>
      </c>
      <c r="AP41" s="36">
        <f>AP32/AP7</f>
        <v>5.5706521739130432E-2</v>
      </c>
      <c r="AQ41" s="37">
        <f>AQ32/AQ7</f>
        <v>6.8906605922551253E-2</v>
      </c>
      <c r="AS41" s="36">
        <f>AS32/AS7</f>
        <v>6.3321385902031069E-2</v>
      </c>
      <c r="AT41" s="36">
        <f>AT32/AT7</f>
        <v>9.521484375E-2</v>
      </c>
      <c r="AU41" s="36">
        <f>AU32/AU7</f>
        <v>9.4587759231158322E-2</v>
      </c>
      <c r="AV41" s="36">
        <f>AV32/AV7</f>
        <v>0.12</v>
      </c>
      <c r="AW41" s="37">
        <f>AW32/AW7</f>
        <v>9.4307450157397693E-2</v>
      </c>
      <c r="AY41" s="36">
        <f>AY32/AY7</f>
        <v>6.6271551724137928E-2</v>
      </c>
      <c r="AZ41" s="36">
        <f>AZ32/AZ7</f>
        <v>9.1082498807820697E-2</v>
      </c>
      <c r="BA41" s="36">
        <f>BA32/BA7</f>
        <v>7.8498293515358364E-2</v>
      </c>
      <c r="BB41" s="36">
        <f>BB32/BB7</f>
        <v>1.70261066969353E-2</v>
      </c>
      <c r="BC41" s="37">
        <f>BC32/BC7</f>
        <v>6.5027040947720841E-2</v>
      </c>
      <c r="BE41" s="36">
        <f>BE32/BE7</f>
        <v>1.1811023622047244E-2</v>
      </c>
      <c r="BF41" s="36">
        <f>BF32/BF7</f>
        <v>8.1414935429533972E-2</v>
      </c>
      <c r="BG41" s="36">
        <f>BG32/BG7</f>
        <v>6.9289489136817387E-2</v>
      </c>
      <c r="BH41" s="36">
        <f>BH32/BH7</f>
        <v>5.8317986494782072E-2</v>
      </c>
      <c r="BI41" s="37">
        <f>BI32/BI7</f>
        <v>5.8436471878427071E-2</v>
      </c>
      <c r="BK41" s="36">
        <f>BK32/BK7</f>
        <v>3.7406483790523692E-2</v>
      </c>
      <c r="BL41" s="36">
        <f>BL32/BL7</f>
        <v>3.9396887159533073E-2</v>
      </c>
      <c r="BM41" s="36">
        <f>BM32/BM7</f>
        <v>6.1525129982668979E-2</v>
      </c>
      <c r="BN41" s="36">
        <f>BN32/BN7</f>
        <v>1.8025078369905956E-2</v>
      </c>
      <c r="BO41" s="37">
        <f>BO32/BO7</f>
        <v>3.8615023474178403E-2</v>
      </c>
      <c r="BQ41" s="36">
        <f>BQ32/BQ7</f>
        <v>1.330885727397889E-2</v>
      </c>
      <c r="BR41" s="36">
        <f>BR32/BR7</f>
        <v>3.8860103626943004E-3</v>
      </c>
      <c r="BS41" s="36">
        <f>BS32/BS7</f>
        <v>3.0135823429541596E-2</v>
      </c>
      <c r="BT41" s="36">
        <f>BT32/BT7</f>
        <v>3.2632990612427359E-2</v>
      </c>
      <c r="BU41" s="37">
        <f>BU32/BU7</f>
        <v>2.0026408450704226E-2</v>
      </c>
      <c r="BW41" s="36">
        <f>BW32/BW7</f>
        <v>2.1230266739248774E-2</v>
      </c>
      <c r="BX41" s="36">
        <f>BX32/BX7</f>
        <v>2.0842982862436313E-2</v>
      </c>
      <c r="BY41" s="36">
        <f>BY32/BY7</f>
        <v>4.5838896306186025E-2</v>
      </c>
      <c r="BZ41" s="36">
        <f>BZ32/BZ7</f>
        <v>4.5116075339465614E-2</v>
      </c>
      <c r="CA41" s="37">
        <f>CA32/CA7</f>
        <v>3.4013605442176874E-2</v>
      </c>
      <c r="CC41" s="36">
        <f>CC32/CC7</f>
        <v>2.3902167871039465E-2</v>
      </c>
      <c r="CD41" s="36">
        <f>CD32/CD7</f>
        <v>3.1291908806437195E-2</v>
      </c>
      <c r="CE41" s="36">
        <f>CE32/CE7</f>
        <v>4.1938110749185666E-2</v>
      </c>
      <c r="CF41" s="36">
        <f>CF32/CF7</f>
        <v>6.2625451625853076E-2</v>
      </c>
      <c r="CG41" s="37">
        <f>CG32/CG7</f>
        <v>4.1411555159746184E-2</v>
      </c>
      <c r="CI41" s="36">
        <f>CI32/CI7</f>
        <v>-2.9069767441860465E-3</v>
      </c>
      <c r="CJ41" s="36">
        <f>CJ32/CJ7</f>
        <v>6.3723258989531175E-3</v>
      </c>
      <c r="CK41" s="36">
        <f>CK32/CK7</f>
        <v>3.875968992248062E-2</v>
      </c>
      <c r="CL41" s="36">
        <f>CL32/CL7</f>
        <v>3.7587006960556842E-2</v>
      </c>
      <c r="CM41" s="37">
        <f>CM32/CM7</f>
        <v>2.0485236896314946E-2</v>
      </c>
      <c r="IL41" s="35"/>
    </row>
    <row r="42" spans="1:246" s="11" customFormat="1" ht="18.75" customHeight="1">
      <c r="A42" s="11" t="s">
        <v>116</v>
      </c>
      <c r="B42" s="6"/>
      <c r="C42" s="36"/>
      <c r="D42" s="36"/>
      <c r="E42" s="36"/>
      <c r="F42" s="36"/>
      <c r="G42" s="37"/>
      <c r="H42" s="15"/>
      <c r="I42" s="36"/>
      <c r="J42" s="36"/>
      <c r="K42" s="36"/>
      <c r="L42" s="36"/>
      <c r="M42" s="37"/>
      <c r="O42" s="36">
        <f>+O32/O16</f>
        <v>3.1914893617021274E-2</v>
      </c>
      <c r="P42" s="36">
        <f>+P32/P16</f>
        <v>7.040229885057471E-2</v>
      </c>
      <c r="Q42" s="36">
        <f>+Q32/Q16</f>
        <v>8.5714285714285715E-2</v>
      </c>
      <c r="R42" s="36">
        <f>+R32/R16</f>
        <v>4.6875E-2</v>
      </c>
      <c r="S42" s="37">
        <f>+S32/S16</f>
        <v>6.0716898317483538E-2</v>
      </c>
      <c r="U42" s="36" t="s">
        <v>78</v>
      </c>
      <c r="V42" s="36"/>
      <c r="W42" s="36"/>
      <c r="X42" s="36"/>
      <c r="Y42" s="37"/>
      <c r="AA42" s="36">
        <f>+AA32/AA16</f>
        <v>3.5087719298245612E-2</v>
      </c>
      <c r="AB42" s="36">
        <f>+AB32/AB16</f>
        <v>8.3106267029972758E-2</v>
      </c>
      <c r="AC42" s="36">
        <f>+AC32/AC16</f>
        <v>7.5334143377885784E-2</v>
      </c>
      <c r="AD42" s="36">
        <f>+AD32/AD16</f>
        <v>5.4455445544554455E-2</v>
      </c>
      <c r="AE42" s="37">
        <f>+AE32/AE16</f>
        <v>6.3168449197860965E-2</v>
      </c>
      <c r="AG42" s="36">
        <f>+AG32/AG16</f>
        <v>4.0564373897707229E-2</v>
      </c>
      <c r="AH42" s="36">
        <f>+AH32/AH16</f>
        <v>8.3557951482479784E-2</v>
      </c>
      <c r="AI42" s="36">
        <f>+AI32/AI16</f>
        <v>9.8750000000000004E-2</v>
      </c>
      <c r="AJ42" s="36">
        <f>+AJ32/AJ16</f>
        <v>9.1764705882352943E-2</v>
      </c>
      <c r="AK42" s="37">
        <f>+AK32/AK16</f>
        <v>8.1784386617100371E-2</v>
      </c>
      <c r="AM42" s="36">
        <f>+AM32/AM16</f>
        <v>8.0519480519480519E-2</v>
      </c>
      <c r="AN42" s="36">
        <f>+AN32/AN16</f>
        <v>0.11073825503355705</v>
      </c>
      <c r="AO42" s="36">
        <f>+AO32/AO16</f>
        <v>0.13872832369942195</v>
      </c>
      <c r="AP42" s="36">
        <f>+AP32/AP16</f>
        <v>8.8744588744588751E-2</v>
      </c>
      <c r="AQ42" s="37">
        <f>+AQ32/AQ16</f>
        <v>0.10512597741094701</v>
      </c>
      <c r="AS42" s="36">
        <f>+AS32/AS16</f>
        <v>9.7876269621421971E-2</v>
      </c>
      <c r="AT42" s="36">
        <f>+AT32/AT16</f>
        <v>0.14942528735632185</v>
      </c>
      <c r="AU42" s="36">
        <f>+AU32/AU16</f>
        <v>0.15080645161290324</v>
      </c>
      <c r="AV42" s="36">
        <f>+AV32/AV16</f>
        <v>0.18203309692671396</v>
      </c>
      <c r="AW42" s="37">
        <f>+AW32/AW16</f>
        <v>0.1468245864815193</v>
      </c>
      <c r="AY42" s="36">
        <f>+AY32/AY16</f>
        <v>0.10344827586206896</v>
      </c>
      <c r="AZ42" s="38">
        <f>+AZ32/AZ16</f>
        <v>0.13750899928005761</v>
      </c>
      <c r="BA42" s="38">
        <f>+BA32/BA16</f>
        <v>0.12041884816753927</v>
      </c>
      <c r="BB42" s="38">
        <f>+BB32/BB16</f>
        <v>2.3148148148148147E-2</v>
      </c>
      <c r="BC42" s="37">
        <f>BC32/BC16</f>
        <v>9.691038188447515E-2</v>
      </c>
      <c r="BE42" s="36">
        <f>+BE32/BE16</f>
        <v>1.5337423312883436E-2</v>
      </c>
      <c r="BF42" s="36">
        <f>+BF32/BF16</f>
        <v>0.1091867469879518</v>
      </c>
      <c r="BG42" s="36">
        <f>+BG32/BG16</f>
        <v>9.9578059071729952E-2</v>
      </c>
      <c r="BH42" s="36">
        <f>+BH32/BH16</f>
        <v>8.2251082251082255E-2</v>
      </c>
      <c r="BI42" s="37">
        <f>BI32/BI16</f>
        <v>8.0284115368058545E-2</v>
      </c>
      <c r="BK42" s="36">
        <f>+BK32/BK16</f>
        <v>5.7915057915057917E-2</v>
      </c>
      <c r="BL42" s="36">
        <f>+BL32/BL16</f>
        <v>5.8951965065502182E-2</v>
      </c>
      <c r="BM42" s="36">
        <f>+BM32/BM16</f>
        <v>9.3053735255570119E-2</v>
      </c>
      <c r="BN42" s="36">
        <f>+BN32/BN16</f>
        <v>2.8553693358162633E-2</v>
      </c>
      <c r="BO42" s="37">
        <f>BO32/BO16</f>
        <v>5.9311339462772672E-2</v>
      </c>
      <c r="BQ42" s="36">
        <f>+BQ32/BQ16</f>
        <v>2.2870662460567823E-2</v>
      </c>
      <c r="BR42" s="36">
        <f>+BR32/BR16</f>
        <v>6.5359477124183009E-3</v>
      </c>
      <c r="BS42" s="36">
        <f>+BS32/BS16</f>
        <v>4.8266485384092457E-2</v>
      </c>
      <c r="BT42" s="36">
        <f>+BT32/BT16</f>
        <v>4.8057932850559579E-2</v>
      </c>
      <c r="BU42" s="37">
        <f>BU32/BU16</f>
        <v>3.2298136645962733E-2</v>
      </c>
      <c r="BW42" s="36">
        <f>+BW32/BW16</f>
        <v>3.5071942446043163E-2</v>
      </c>
      <c r="BX42" s="36">
        <f>+BX32/BX16</f>
        <v>3.3733133433283359E-2</v>
      </c>
      <c r="BY42" s="36">
        <f>+BY32/BY16</f>
        <v>7.0211315610088615E-2</v>
      </c>
      <c r="BZ42" s="36">
        <f>+BZ32/BZ16</f>
        <v>6.830238726790451E-2</v>
      </c>
      <c r="CA42" s="37">
        <f>CA32/CA16</f>
        <v>5.3495665006456375E-2</v>
      </c>
      <c r="CC42" s="36">
        <f>+CC32/CC16</f>
        <v>3.7423846823324627E-2</v>
      </c>
      <c r="CD42" s="36">
        <f>+CD32/CD16</f>
        <v>4.784688995215311E-2</v>
      </c>
      <c r="CE42" s="36">
        <f>+CE32/CE16</f>
        <v>6.2010836845273934E-2</v>
      </c>
      <c r="CF42" s="36">
        <f>+CF32/CF16</f>
        <v>8.9449541284403675E-2</v>
      </c>
      <c r="CG42" s="37">
        <f>CG32/CG16</f>
        <v>6.1824829649326909E-2</v>
      </c>
      <c r="CI42" s="36">
        <f>+CI32/CI16</f>
        <v>-4.3541364296081275E-3</v>
      </c>
      <c r="CJ42" s="36">
        <f>+CJ32/CJ16</f>
        <v>9.2961487383798145E-3</v>
      </c>
      <c r="CK42" s="36">
        <f>+CK32/CK16</f>
        <v>5.431502715751358E-2</v>
      </c>
      <c r="CL42" s="36">
        <f>+CL32/CL16</f>
        <v>5.3500660501981503E-2</v>
      </c>
      <c r="CM42" s="37">
        <f>CM32/CM16</f>
        <v>2.9562345169281586E-2</v>
      </c>
      <c r="IL42" s="35"/>
    </row>
    <row r="43" spans="1:246" s="11" customFormat="1" ht="18.75" customHeight="1">
      <c r="A43" s="11" t="s">
        <v>204</v>
      </c>
      <c r="B43" s="6"/>
      <c r="C43" s="36">
        <f>C33/C8</f>
        <v>6.0565275908479141E-2</v>
      </c>
      <c r="D43" s="36">
        <f>D33/D8</f>
        <v>3.8199181446111868E-2</v>
      </c>
      <c r="E43" s="36">
        <f>E33/E8</f>
        <v>3.81791483113069E-2</v>
      </c>
      <c r="F43" s="36">
        <f>F33/F8</f>
        <v>4.5454545454545456E-2</v>
      </c>
      <c r="G43" s="37">
        <f>G33/G8</f>
        <v>4.5785639958376693E-2</v>
      </c>
      <c r="H43" s="15"/>
      <c r="I43" s="36">
        <f>I33/I8</f>
        <v>5.5800293685756244E-2</v>
      </c>
      <c r="J43" s="36">
        <f>J33/J8</f>
        <v>8.3565459610027856E-2</v>
      </c>
      <c r="K43" s="36">
        <f>K33/K8</f>
        <v>8.4848484848484854E-2</v>
      </c>
      <c r="L43" s="36">
        <f>L33/L8</f>
        <v>8.9020771513353122E-2</v>
      </c>
      <c r="M43" s="37">
        <f>M33/M8</f>
        <v>7.8302231979509695E-2</v>
      </c>
      <c r="O43" s="36">
        <f>O33/O8</f>
        <v>0.10401188707280833</v>
      </c>
      <c r="P43" s="36">
        <f>P33/P8</f>
        <v>0.10480349344978165</v>
      </c>
      <c r="Q43" s="36">
        <f>Q33/Q8</f>
        <v>8.9802130898021304E-2</v>
      </c>
      <c r="R43" s="36">
        <f>R33/R8</f>
        <v>0.10964912280701754</v>
      </c>
      <c r="S43" s="37">
        <f>S33/S8</f>
        <v>0.1021843761569789</v>
      </c>
      <c r="U43" s="36">
        <f>U33/U8</f>
        <v>0.10953058321479374</v>
      </c>
      <c r="V43" s="36">
        <f>V33/V8</f>
        <v>9.0661831368993653E-2</v>
      </c>
      <c r="W43" s="36">
        <f>W33/W8</f>
        <v>8.1081081081081086E-2</v>
      </c>
      <c r="X43" s="36">
        <f>X33/X8</f>
        <v>8.7219343696027629E-2</v>
      </c>
      <c r="Y43" s="37">
        <f>Y33/Y8</f>
        <v>9.0245682315738263E-2</v>
      </c>
      <c r="AA43" s="36">
        <f>AA33/AA8</f>
        <v>0.10953058321479374</v>
      </c>
      <c r="AB43" s="36">
        <f>AB33/AB8</f>
        <v>-7.4342701722574803E-2</v>
      </c>
      <c r="AC43" s="36">
        <f>AC33/AC8</f>
        <v>8.1081081081081086E-2</v>
      </c>
      <c r="AD43" s="36">
        <f>AD33/AD8</f>
        <v>8.7219343696027629E-2</v>
      </c>
      <c r="AE43" s="37">
        <f>AE33/AE8</f>
        <v>4.5974215519338363E-2</v>
      </c>
      <c r="AG43" s="36">
        <f>AG33/AG8</f>
        <v>8.4518828451882841E-2</v>
      </c>
      <c r="AH43" s="36">
        <f>AH33/AH8</f>
        <v>8.5365853658536592E-2</v>
      </c>
      <c r="AI43" s="36">
        <f>AI33/AI8</f>
        <v>9.1419406575781875E-2</v>
      </c>
      <c r="AJ43" s="36">
        <f>AJ33/AJ8</f>
        <v>0.10571652310101801</v>
      </c>
      <c r="AK43" s="37">
        <f>AK33/AK8</f>
        <v>9.1726970467435942E-2</v>
      </c>
      <c r="AM43" s="36">
        <f>AM33/AM8</f>
        <v>8.6474501108647447E-2</v>
      </c>
      <c r="AN43" s="36">
        <f>AN33/AN8</f>
        <v>0.18706536856745479</v>
      </c>
      <c r="AO43" s="36">
        <f>AO33/AO8</f>
        <v>9.7523219814241488E-2</v>
      </c>
      <c r="AP43" s="36">
        <f>AP33/AP8</f>
        <v>9.1445427728613568E-2</v>
      </c>
      <c r="AQ43" s="37">
        <f>AQ33/AQ8</f>
        <v>0.11693325979040264</v>
      </c>
      <c r="AS43" s="36">
        <f>AS33/AS8</f>
        <v>0.10195530726256984</v>
      </c>
      <c r="AT43" s="36">
        <f>AT33/AT8</f>
        <v>0.11372549019607843</v>
      </c>
      <c r="AU43" s="36">
        <f>AU33/AU8</f>
        <v>9.9480326651818857E-2</v>
      </c>
      <c r="AV43" s="36">
        <f>AV33/AV8</f>
        <v>0.12203389830508475</v>
      </c>
      <c r="AW43" s="37">
        <f>AW33/AW8</f>
        <v>0.10961272475795297</v>
      </c>
      <c r="AY43" s="36">
        <f>AY33/AY8</f>
        <v>0.10384356035064059</v>
      </c>
      <c r="AZ43" s="36">
        <f>AZ33/AZ8</f>
        <v>0.11789859499083689</v>
      </c>
      <c r="BA43" s="36">
        <f>BA33/BA8</f>
        <v>7.3632538569424963E-2</v>
      </c>
      <c r="BB43" s="36">
        <f>BB33/BB8</f>
        <v>8.3083832335329344E-2</v>
      </c>
      <c r="BC43" s="37">
        <f>BC33/BC8</f>
        <v>9.5715742944576673E-2</v>
      </c>
      <c r="BE43" s="36">
        <f>BE33/BE8</f>
        <v>6.4491654021244307E-2</v>
      </c>
      <c r="BF43" s="36">
        <f>BF33/BF8</f>
        <v>5.1359516616314202E-2</v>
      </c>
      <c r="BG43" s="36">
        <f>BG33/BG8</f>
        <v>6.6827697262479877E-2</v>
      </c>
      <c r="BH43" s="36">
        <f>BH33/BH8</f>
        <v>6.4593301435406703E-2</v>
      </c>
      <c r="BI43" s="37">
        <f>BI33/BI8</f>
        <v>6.1697158427403656E-2</v>
      </c>
      <c r="BK43" s="36">
        <f>BK33/BK8</f>
        <v>0.10578279266572638</v>
      </c>
      <c r="BL43" s="36">
        <f>BL33/BL8</f>
        <v>0.10900783289817233</v>
      </c>
      <c r="BM43" s="36">
        <f>BM33/BM8</f>
        <v>7.5801749271137031E-2</v>
      </c>
      <c r="BN43" s="36">
        <f>BN33/BN8</f>
        <v>7.3684210526315783E-2</v>
      </c>
      <c r="BO43" s="37">
        <f>BO33/BO8</f>
        <v>9.1526013572298587E-2</v>
      </c>
      <c r="BQ43" s="36">
        <f>BQ33/BQ8</f>
        <v>0.11275773195876289</v>
      </c>
      <c r="BR43" s="36">
        <f>BR33/BR8</f>
        <v>0.11689884918231375</v>
      </c>
      <c r="BS43" s="36">
        <f>BS33/BS8</f>
        <v>0.10459693537641572</v>
      </c>
      <c r="BT43" s="36">
        <f>BT33/BT8</f>
        <v>0.10854647535870243</v>
      </c>
      <c r="BU43" s="37">
        <f>BU33/BU8</f>
        <v>0.11082923735531949</v>
      </c>
      <c r="BW43" s="36">
        <f>BW33/BW8</f>
        <v>0.11919315403422982</v>
      </c>
      <c r="BX43" s="36">
        <f>BX33/BX8</f>
        <v>0.11695215593620792</v>
      </c>
      <c r="BY43" s="36">
        <f>BY33/BY8</f>
        <v>9.6242584047462096E-2</v>
      </c>
      <c r="BZ43" s="36">
        <f>BZ33/BZ8</f>
        <v>0.12522796352583587</v>
      </c>
      <c r="CA43" s="37">
        <f>CA33/CA8</f>
        <v>0.11477430288091203</v>
      </c>
      <c r="CC43" s="36">
        <f>CC33/CC8</f>
        <v>0.113595166163142</v>
      </c>
      <c r="CD43" s="36">
        <f>CD33/CD8</f>
        <v>0.12866168868466399</v>
      </c>
      <c r="CE43" s="36">
        <f>CE33/CE8</f>
        <v>0.10025706940874037</v>
      </c>
      <c r="CF43" s="36">
        <f>CF33/CF8</f>
        <v>0.1305158483530143</v>
      </c>
      <c r="CG43" s="37">
        <f>CG33/CG8</f>
        <v>0.11857948483462886</v>
      </c>
      <c r="CI43" s="36">
        <f>CI33/CI8</f>
        <v>0.178468624064479</v>
      </c>
      <c r="CJ43" s="36">
        <f>CJ33/CJ8</f>
        <v>0.1236528644356211</v>
      </c>
      <c r="CK43" s="36">
        <f>CK33/CK8</f>
        <v>9.0442591404746628E-2</v>
      </c>
      <c r="CL43" s="36">
        <f>CL33/CL8</f>
        <v>0.12774338773213281</v>
      </c>
      <c r="CM43" s="37">
        <f>CM33/CM8</f>
        <v>0.13107080163838503</v>
      </c>
      <c r="IL43" s="35"/>
    </row>
    <row r="44" spans="1:246" s="6" customFormat="1" ht="18.75" hidden="1" customHeight="1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O44" s="15"/>
      <c r="P44" s="15"/>
      <c r="Q44" s="15"/>
      <c r="R44" s="15"/>
      <c r="S44" s="15"/>
      <c r="U44" s="15"/>
      <c r="V44" s="15"/>
      <c r="W44" s="15"/>
      <c r="X44" s="15"/>
      <c r="Y44" s="15"/>
      <c r="AA44" s="15"/>
      <c r="AB44" s="15"/>
      <c r="AC44" s="15"/>
      <c r="AD44" s="15"/>
      <c r="AE44" s="15"/>
      <c r="AG44" s="15"/>
      <c r="AH44" s="15"/>
      <c r="AI44" s="15"/>
      <c r="AJ44" s="15"/>
      <c r="AK44" s="15"/>
      <c r="AM44" s="15"/>
      <c r="AN44" s="15"/>
      <c r="AO44" s="15"/>
      <c r="AP44" s="15"/>
      <c r="AQ44" s="15"/>
      <c r="AS44" s="15"/>
      <c r="AT44" s="15"/>
      <c r="AU44" s="15"/>
      <c r="AV44" s="15"/>
      <c r="AW44" s="15"/>
      <c r="IL44" s="3"/>
    </row>
    <row r="45" spans="1:246" hidden="1">
      <c r="A45" s="10" t="s">
        <v>3</v>
      </c>
      <c r="C45" s="13"/>
      <c r="D45" s="13"/>
      <c r="E45" s="13"/>
      <c r="F45" s="13"/>
      <c r="G45" s="14"/>
      <c r="H45" s="15"/>
      <c r="I45" s="13"/>
      <c r="J45" s="13"/>
      <c r="K45" s="13"/>
      <c r="L45" s="13"/>
      <c r="M45" s="14"/>
      <c r="O45" s="13"/>
      <c r="P45" s="13"/>
      <c r="Q45" s="13"/>
      <c r="R45" s="13"/>
      <c r="S45" s="14"/>
      <c r="U45" s="13"/>
      <c r="V45" s="13"/>
      <c r="W45" s="13"/>
      <c r="X45" s="13"/>
      <c r="Y45" s="14"/>
      <c r="AA45" s="54"/>
      <c r="AB45" s="54"/>
      <c r="AC45" s="54"/>
      <c r="AD45" s="54"/>
      <c r="AE45" s="15"/>
      <c r="AG45" s="54"/>
      <c r="AH45" s="54"/>
      <c r="AI45" s="54"/>
      <c r="AJ45" s="54"/>
      <c r="AK45" s="15"/>
      <c r="AM45" s="54"/>
      <c r="AN45" s="54"/>
      <c r="AO45" s="54"/>
      <c r="AP45" s="54"/>
      <c r="AQ45" s="15"/>
      <c r="AS45" s="54"/>
      <c r="AT45" s="54"/>
      <c r="AU45" s="54"/>
      <c r="AV45" s="54"/>
      <c r="AW45" s="15"/>
    </row>
    <row r="46" spans="1:246" hidden="1">
      <c r="A46" s="4" t="s">
        <v>149</v>
      </c>
      <c r="C46" s="13">
        <f>C62+2</f>
        <v>-29</v>
      </c>
      <c r="D46" s="13">
        <v>104</v>
      </c>
      <c r="E46" s="13">
        <v>0</v>
      </c>
      <c r="F46" s="13">
        <v>7</v>
      </c>
      <c r="G46" s="14">
        <f>SUM(C46:F46)</f>
        <v>82</v>
      </c>
      <c r="H46" s="15"/>
      <c r="I46" s="13">
        <f>I62+2</f>
        <v>-45</v>
      </c>
      <c r="J46" s="13">
        <f>J62+2</f>
        <v>9</v>
      </c>
      <c r="K46" s="13">
        <f>K62+2</f>
        <v>-5</v>
      </c>
      <c r="L46" s="13">
        <f>L62+27</f>
        <v>-658</v>
      </c>
      <c r="M46" s="14">
        <f>SUM(I46:L46)</f>
        <v>-699</v>
      </c>
      <c r="O46" s="13">
        <v>2</v>
      </c>
      <c r="P46" s="13">
        <v>33</v>
      </c>
      <c r="Q46" s="13">
        <v>51</v>
      </c>
      <c r="R46" s="13">
        <v>18</v>
      </c>
      <c r="S46" s="14">
        <f>SUM(O46:R46)</f>
        <v>104</v>
      </c>
      <c r="U46" s="13">
        <v>7</v>
      </c>
      <c r="V46" s="13">
        <v>49</v>
      </c>
      <c r="W46" s="13">
        <v>58</v>
      </c>
      <c r="X46" s="13">
        <v>3</v>
      </c>
      <c r="Y46" s="14">
        <f>SUM(U46:X46)</f>
        <v>117</v>
      </c>
      <c r="AA46" s="54"/>
      <c r="AB46" s="54"/>
      <c r="AC46" s="54"/>
      <c r="AD46" s="54"/>
      <c r="AE46" s="15"/>
      <c r="AG46" s="54"/>
      <c r="AH46" s="54"/>
      <c r="AI46" s="54"/>
      <c r="AJ46" s="54"/>
      <c r="AK46" s="15"/>
      <c r="AM46" s="54"/>
      <c r="AN46" s="54"/>
      <c r="AO46" s="54"/>
      <c r="AP46" s="54"/>
      <c r="AQ46" s="15"/>
      <c r="AS46" s="54"/>
      <c r="AT46" s="54"/>
      <c r="AU46" s="54"/>
      <c r="AV46" s="54"/>
      <c r="AW46" s="15"/>
    </row>
    <row r="47" spans="1:246" hidden="1">
      <c r="A47" s="4" t="s">
        <v>40</v>
      </c>
      <c r="C47" s="13">
        <v>29</v>
      </c>
      <c r="D47" s="13">
        <v>13</v>
      </c>
      <c r="E47" s="13">
        <v>7</v>
      </c>
      <c r="F47" s="13">
        <v>18</v>
      </c>
      <c r="G47" s="14">
        <f t="shared" ref="G47:G52" si="66">SUM(C47:F47)</f>
        <v>67</v>
      </c>
      <c r="H47" s="15"/>
      <c r="I47" s="13">
        <v>22</v>
      </c>
      <c r="J47" s="13">
        <f>J63+14</f>
        <v>45</v>
      </c>
      <c r="K47" s="13">
        <f>K63+15</f>
        <v>41</v>
      </c>
      <c r="L47" s="13">
        <v>45</v>
      </c>
      <c r="M47" s="14">
        <f t="shared" ref="M47:M52" si="67">SUM(I47:L47)</f>
        <v>153</v>
      </c>
      <c r="O47" s="13">
        <v>56</v>
      </c>
      <c r="P47" s="13">
        <v>58</v>
      </c>
      <c r="Q47" s="13">
        <v>46</v>
      </c>
      <c r="R47" s="13">
        <v>58</v>
      </c>
      <c r="S47" s="14">
        <f t="shared" ref="S47:S52" si="68">SUM(O47:R47)</f>
        <v>218</v>
      </c>
      <c r="U47" s="13">
        <v>62</v>
      </c>
      <c r="V47" s="13">
        <v>74</v>
      </c>
      <c r="W47" s="13">
        <v>65</v>
      </c>
      <c r="X47" s="13">
        <v>67</v>
      </c>
      <c r="Y47" s="14">
        <f t="shared" ref="Y47:Y52" si="69">SUM(U47:X47)</f>
        <v>268</v>
      </c>
      <c r="AA47" s="54"/>
      <c r="AB47" s="54"/>
      <c r="AC47" s="54"/>
      <c r="AD47" s="54"/>
      <c r="AE47" s="15"/>
      <c r="AG47" s="54"/>
      <c r="AH47" s="54"/>
      <c r="AI47" s="54"/>
      <c r="AJ47" s="54"/>
      <c r="AK47" s="15"/>
      <c r="AM47" s="54"/>
      <c r="AN47" s="54"/>
      <c r="AO47" s="54"/>
      <c r="AP47" s="54"/>
      <c r="AQ47" s="15"/>
      <c r="AS47" s="54"/>
      <c r="AT47" s="54"/>
      <c r="AU47" s="54"/>
      <c r="AV47" s="54"/>
      <c r="AW47" s="15"/>
    </row>
    <row r="48" spans="1:246" hidden="1">
      <c r="A48" s="4" t="s">
        <v>41</v>
      </c>
      <c r="C48" s="13">
        <f t="shared" ref="C48:F50" si="70">C64</f>
        <v>6</v>
      </c>
      <c r="D48" s="13">
        <f t="shared" si="70"/>
        <v>6</v>
      </c>
      <c r="E48" s="13">
        <f t="shared" si="70"/>
        <v>5</v>
      </c>
      <c r="F48" s="13">
        <f t="shared" si="70"/>
        <v>5</v>
      </c>
      <c r="G48" s="14">
        <f t="shared" si="66"/>
        <v>22</v>
      </c>
      <c r="H48" s="15"/>
      <c r="I48" s="13">
        <f t="shared" ref="I48:L51" si="71">I64</f>
        <v>61</v>
      </c>
      <c r="J48" s="13">
        <f t="shared" si="71"/>
        <v>13</v>
      </c>
      <c r="K48" s="13">
        <f t="shared" si="71"/>
        <v>41</v>
      </c>
      <c r="L48" s="13">
        <f t="shared" si="71"/>
        <v>16</v>
      </c>
      <c r="M48" s="14">
        <f t="shared" si="67"/>
        <v>131</v>
      </c>
      <c r="O48" s="13">
        <v>0</v>
      </c>
      <c r="P48" s="13">
        <v>0</v>
      </c>
      <c r="Q48" s="13">
        <v>-2</v>
      </c>
      <c r="R48" s="13">
        <v>2</v>
      </c>
      <c r="S48" s="14">
        <f t="shared" si="68"/>
        <v>0</v>
      </c>
      <c r="U48" s="13">
        <v>-1</v>
      </c>
      <c r="V48" s="13">
        <v>0</v>
      </c>
      <c r="W48" s="13">
        <v>136</v>
      </c>
      <c r="X48" s="13">
        <v>43</v>
      </c>
      <c r="Y48" s="14">
        <f t="shared" si="69"/>
        <v>178</v>
      </c>
      <c r="AA48" s="54"/>
      <c r="AB48" s="54"/>
      <c r="AC48" s="54"/>
      <c r="AD48" s="54"/>
      <c r="AE48" s="15"/>
      <c r="AG48" s="54"/>
      <c r="AH48" s="54"/>
      <c r="AI48" s="54"/>
      <c r="AJ48" s="54"/>
      <c r="AK48" s="15"/>
      <c r="AM48" s="54"/>
      <c r="AN48" s="54"/>
      <c r="AO48" s="54"/>
      <c r="AP48" s="54"/>
      <c r="AQ48" s="15"/>
      <c r="AS48" s="54"/>
      <c r="AT48" s="54"/>
      <c r="AU48" s="54"/>
      <c r="AV48" s="54"/>
      <c r="AW48" s="15"/>
    </row>
    <row r="49" spans="1:246" hidden="1">
      <c r="A49" s="4" t="s">
        <v>42</v>
      </c>
      <c r="C49" s="13">
        <f t="shared" si="70"/>
        <v>-19</v>
      </c>
      <c r="D49" s="13">
        <f t="shared" si="70"/>
        <v>-4</v>
      </c>
      <c r="E49" s="13">
        <f t="shared" si="70"/>
        <v>-15</v>
      </c>
      <c r="F49" s="13">
        <f t="shared" si="70"/>
        <v>-17</v>
      </c>
      <c r="G49" s="14">
        <f t="shared" si="66"/>
        <v>-55</v>
      </c>
      <c r="H49" s="15"/>
      <c r="I49" s="13">
        <f t="shared" si="71"/>
        <v>-8</v>
      </c>
      <c r="J49" s="13">
        <f t="shared" si="71"/>
        <v>-12</v>
      </c>
      <c r="K49" s="13">
        <f t="shared" si="71"/>
        <v>-12</v>
      </c>
      <c r="L49" s="13">
        <f t="shared" si="71"/>
        <v>-136</v>
      </c>
      <c r="M49" s="14">
        <f t="shared" si="67"/>
        <v>-168</v>
      </c>
      <c r="O49" s="13">
        <v>-13</v>
      </c>
      <c r="P49" s="13">
        <v>-6</v>
      </c>
      <c r="Q49" s="13">
        <v>1</v>
      </c>
      <c r="R49" s="13">
        <v>-14</v>
      </c>
      <c r="S49" s="14">
        <f t="shared" si="68"/>
        <v>-32</v>
      </c>
      <c r="U49" s="13">
        <v>-17</v>
      </c>
      <c r="V49" s="13">
        <v>-4</v>
      </c>
      <c r="W49" s="13">
        <v>-15</v>
      </c>
      <c r="X49" s="13">
        <v>-25</v>
      </c>
      <c r="Y49" s="14">
        <f t="shared" si="69"/>
        <v>-61</v>
      </c>
      <c r="AA49" s="54"/>
      <c r="AB49" s="54"/>
      <c r="AC49" s="54"/>
      <c r="AD49" s="54"/>
      <c r="AE49" s="15"/>
      <c r="AG49" s="54"/>
      <c r="AH49" s="54"/>
      <c r="AI49" s="54"/>
      <c r="AJ49" s="54"/>
      <c r="AK49" s="15"/>
      <c r="AM49" s="54"/>
      <c r="AN49" s="54"/>
      <c r="AO49" s="54"/>
      <c r="AP49" s="54"/>
      <c r="AQ49" s="15"/>
      <c r="AS49" s="54"/>
      <c r="AT49" s="54"/>
      <c r="AU49" s="54"/>
      <c r="AV49" s="54"/>
      <c r="AW49" s="15"/>
    </row>
    <row r="50" spans="1:246" hidden="1">
      <c r="A50" s="4" t="s">
        <v>146</v>
      </c>
      <c r="C50" s="13">
        <f t="shared" si="70"/>
        <v>-11</v>
      </c>
      <c r="D50" s="13">
        <f t="shared" si="70"/>
        <v>-11</v>
      </c>
      <c r="E50" s="13">
        <f t="shared" si="70"/>
        <v>-17</v>
      </c>
      <c r="F50" s="13">
        <f t="shared" si="70"/>
        <v>-29</v>
      </c>
      <c r="G50" s="14">
        <f t="shared" si="66"/>
        <v>-68</v>
      </c>
      <c r="H50" s="15"/>
      <c r="I50" s="13">
        <v>-30</v>
      </c>
      <c r="J50" s="13">
        <v>-28</v>
      </c>
      <c r="K50" s="13">
        <v>-30</v>
      </c>
      <c r="L50" s="13">
        <v>-58</v>
      </c>
      <c r="M50" s="14">
        <f t="shared" si="67"/>
        <v>-146</v>
      </c>
      <c r="O50" s="13">
        <v>-29</v>
      </c>
      <c r="P50" s="13">
        <v>-27</v>
      </c>
      <c r="Q50" s="13">
        <v>-30</v>
      </c>
      <c r="R50" s="13">
        <v>-49</v>
      </c>
      <c r="S50" s="14">
        <f t="shared" si="68"/>
        <v>-135</v>
      </c>
      <c r="U50" s="13">
        <v>-27</v>
      </c>
      <c r="V50" s="13">
        <v>-26</v>
      </c>
      <c r="W50" s="13">
        <v>-94</v>
      </c>
      <c r="X50" s="13">
        <v>-13</v>
      </c>
      <c r="Y50" s="14">
        <f t="shared" si="69"/>
        <v>-160</v>
      </c>
      <c r="AA50" s="54"/>
      <c r="AB50" s="54"/>
      <c r="AC50" s="54"/>
      <c r="AD50" s="54"/>
      <c r="AE50" s="15"/>
      <c r="AG50" s="54"/>
      <c r="AH50" s="54"/>
      <c r="AI50" s="54"/>
      <c r="AJ50" s="54"/>
      <c r="AK50" s="15"/>
      <c r="AM50" s="54"/>
      <c r="AN50" s="54"/>
      <c r="AO50" s="54"/>
      <c r="AP50" s="54"/>
      <c r="AQ50" s="15"/>
      <c r="AS50" s="54"/>
      <c r="AT50" s="54"/>
      <c r="AU50" s="54"/>
      <c r="AV50" s="54"/>
      <c r="AW50" s="15"/>
    </row>
    <row r="51" spans="1:246" hidden="1">
      <c r="A51" s="4" t="s">
        <v>47</v>
      </c>
      <c r="C51" s="13">
        <f>C67</f>
        <v>-9</v>
      </c>
      <c r="D51" s="13">
        <f>D67</f>
        <v>-9</v>
      </c>
      <c r="E51" s="13">
        <f>E67</f>
        <v>-11</v>
      </c>
      <c r="F51" s="13">
        <f>F67</f>
        <v>-13</v>
      </c>
      <c r="G51" s="14">
        <f t="shared" si="66"/>
        <v>-42</v>
      </c>
      <c r="H51" s="15"/>
      <c r="I51" s="13">
        <f t="shared" si="71"/>
        <v>-16</v>
      </c>
      <c r="J51" s="13">
        <f t="shared" si="71"/>
        <v>-22</v>
      </c>
      <c r="K51" s="13">
        <f t="shared" si="71"/>
        <v>-15</v>
      </c>
      <c r="L51" s="13">
        <f t="shared" si="71"/>
        <v>-28</v>
      </c>
      <c r="M51" s="14">
        <f t="shared" si="67"/>
        <v>-81</v>
      </c>
      <c r="O51" s="13">
        <v>-4</v>
      </c>
      <c r="P51" s="13">
        <v>-3</v>
      </c>
      <c r="Q51" s="13">
        <v>-6</v>
      </c>
      <c r="R51" s="13">
        <v>2</v>
      </c>
      <c r="S51" s="14">
        <f t="shared" si="68"/>
        <v>-11</v>
      </c>
      <c r="U51" s="13">
        <v>0</v>
      </c>
      <c r="V51" s="13">
        <v>0</v>
      </c>
      <c r="W51" s="13">
        <v>0</v>
      </c>
      <c r="X51" s="13">
        <v>0</v>
      </c>
      <c r="Y51" s="14">
        <f t="shared" si="69"/>
        <v>0</v>
      </c>
      <c r="AA51" s="54"/>
      <c r="AB51" s="54"/>
      <c r="AC51" s="54"/>
      <c r="AD51" s="54"/>
      <c r="AE51" s="15"/>
      <c r="AG51" s="54"/>
      <c r="AH51" s="54"/>
      <c r="AI51" s="54"/>
      <c r="AJ51" s="54"/>
      <c r="AK51" s="15"/>
      <c r="AM51" s="54"/>
      <c r="AN51" s="54"/>
      <c r="AO51" s="54"/>
      <c r="AP51" s="54"/>
      <c r="AQ51" s="15"/>
      <c r="AS51" s="54"/>
      <c r="AT51" s="54"/>
      <c r="AU51" s="54"/>
      <c r="AV51" s="54"/>
      <c r="AW51" s="15"/>
    </row>
    <row r="52" spans="1:246" hidden="1">
      <c r="A52" s="4" t="s">
        <v>43</v>
      </c>
      <c r="C52" s="13">
        <v>-5</v>
      </c>
      <c r="D52" s="13">
        <v>-6</v>
      </c>
      <c r="E52" s="13">
        <v>0</v>
      </c>
      <c r="F52" s="13">
        <v>-5</v>
      </c>
      <c r="G52" s="14">
        <f t="shared" si="66"/>
        <v>-16</v>
      </c>
      <c r="H52" s="15"/>
      <c r="I52" s="13">
        <v>0</v>
      </c>
      <c r="J52" s="13">
        <v>-2</v>
      </c>
      <c r="K52" s="13">
        <v>-5</v>
      </c>
      <c r="L52" s="13">
        <v>12</v>
      </c>
      <c r="M52" s="14">
        <f t="shared" si="67"/>
        <v>5</v>
      </c>
      <c r="O52" s="13">
        <v>2</v>
      </c>
      <c r="P52" s="13">
        <v>-5</v>
      </c>
      <c r="Q52" s="13">
        <v>-4</v>
      </c>
      <c r="R52" s="13">
        <v>12</v>
      </c>
      <c r="S52" s="14">
        <f t="shared" si="68"/>
        <v>5</v>
      </c>
      <c r="U52" s="13">
        <v>-5</v>
      </c>
      <c r="V52" s="13">
        <v>-5</v>
      </c>
      <c r="W52" s="13">
        <v>-3</v>
      </c>
      <c r="X52" s="13">
        <v>-5</v>
      </c>
      <c r="Y52" s="14">
        <f t="shared" si="69"/>
        <v>-18</v>
      </c>
      <c r="AA52" s="54"/>
      <c r="AB52" s="54"/>
      <c r="AC52" s="54"/>
      <c r="AD52" s="54"/>
      <c r="AE52" s="15"/>
      <c r="AG52" s="54"/>
      <c r="AH52" s="54"/>
      <c r="AI52" s="54"/>
      <c r="AJ52" s="54"/>
      <c r="AK52" s="15"/>
      <c r="AM52" s="54"/>
      <c r="AN52" s="54"/>
      <c r="AO52" s="54"/>
      <c r="AP52" s="54"/>
      <c r="AQ52" s="15"/>
      <c r="AS52" s="54"/>
      <c r="AT52" s="54"/>
      <c r="AU52" s="54"/>
      <c r="AV52" s="54"/>
      <c r="AW52" s="15"/>
    </row>
    <row r="53" spans="1:246" s="11" customFormat="1" ht="18.75" hidden="1" customHeight="1">
      <c r="B53" s="6"/>
      <c r="C53" s="16">
        <f>SUM(C45:C52)</f>
        <v>-38</v>
      </c>
      <c r="D53" s="16">
        <f>SUM(D45:D52)</f>
        <v>93</v>
      </c>
      <c r="E53" s="16">
        <f>SUM(E45:E52)</f>
        <v>-31</v>
      </c>
      <c r="F53" s="16">
        <f>SUM(F45:F52)</f>
        <v>-34</v>
      </c>
      <c r="G53" s="17">
        <f>SUM(G45:G52)</f>
        <v>-10</v>
      </c>
      <c r="H53" s="15"/>
      <c r="I53" s="16">
        <f>SUM(I45:I52)</f>
        <v>-16</v>
      </c>
      <c r="J53" s="16">
        <f>SUM(J45:J52)</f>
        <v>3</v>
      </c>
      <c r="K53" s="16">
        <f>SUM(K45:K52)</f>
        <v>15</v>
      </c>
      <c r="L53" s="16">
        <f>SUM(L45:L52)</f>
        <v>-807</v>
      </c>
      <c r="M53" s="17">
        <f>SUM(M45:M52)</f>
        <v>-805</v>
      </c>
      <c r="O53" s="16">
        <f>SUM(O45:O52)</f>
        <v>14</v>
      </c>
      <c r="P53" s="16">
        <f>SUM(P45:P52)</f>
        <v>50</v>
      </c>
      <c r="Q53" s="16">
        <f>SUM(Q45:Q52)</f>
        <v>56</v>
      </c>
      <c r="R53" s="16">
        <f>SUM(R45:R52)</f>
        <v>29</v>
      </c>
      <c r="S53" s="17">
        <f>SUM(S45:S52)</f>
        <v>149</v>
      </c>
      <c r="U53" s="16">
        <f>SUM(U45:U52)</f>
        <v>19</v>
      </c>
      <c r="V53" s="16">
        <f>SUM(V45:V52)</f>
        <v>88</v>
      </c>
      <c r="W53" s="16">
        <f>SUM(W45:W52)</f>
        <v>147</v>
      </c>
      <c r="X53" s="16">
        <f>SUM(X45:X52)</f>
        <v>70</v>
      </c>
      <c r="Y53" s="17">
        <f>SUM(Y45:Y52)</f>
        <v>324</v>
      </c>
      <c r="AA53" s="15"/>
      <c r="AB53" s="15"/>
      <c r="AC53" s="15"/>
      <c r="AD53" s="15"/>
      <c r="AE53" s="15"/>
      <c r="AG53" s="15"/>
      <c r="AH53" s="15"/>
      <c r="AI53" s="15"/>
      <c r="AJ53" s="15"/>
      <c r="AK53" s="15"/>
      <c r="AM53" s="15"/>
      <c r="AN53" s="15"/>
      <c r="AO53" s="15"/>
      <c r="AP53" s="15"/>
      <c r="AQ53" s="15"/>
      <c r="AS53" s="15"/>
      <c r="AT53" s="15"/>
      <c r="AU53" s="15"/>
      <c r="AV53" s="15"/>
      <c r="AW53" s="15"/>
      <c r="IL53" s="12"/>
    </row>
    <row r="54" spans="1:246" s="11" customFormat="1" ht="18.75" hidden="1" customHeight="1">
      <c r="A54" s="11" t="s">
        <v>60</v>
      </c>
      <c r="B54" s="6"/>
      <c r="C54" s="36">
        <f>C53/C14</f>
        <v>-2.47074122236671E-2</v>
      </c>
      <c r="D54" s="36">
        <f>D53/D14</f>
        <v>5.5291319857312726E-2</v>
      </c>
      <c r="E54" s="36">
        <f>E53/E14</f>
        <v>-1.9123997532387416E-2</v>
      </c>
      <c r="F54" s="36">
        <f>F53/F14</f>
        <v>-2.1451104100946371E-2</v>
      </c>
      <c r="G54" s="37">
        <f>G53/G14</f>
        <v>-1.556178026766262E-3</v>
      </c>
      <c r="H54" s="15"/>
      <c r="I54" s="36">
        <f>I53/I14</f>
        <v>-1.1843079200592153E-2</v>
      </c>
      <c r="J54" s="36">
        <f>J53/J14</f>
        <v>1.9607843137254902E-3</v>
      </c>
      <c r="K54" s="36">
        <f>K53/K14</f>
        <v>9.8684210526315784E-3</v>
      </c>
      <c r="L54" s="36">
        <f>L53/L14</f>
        <v>-0.54233870967741937</v>
      </c>
      <c r="M54" s="37">
        <f>M53/M14</f>
        <v>-0.13669553404652743</v>
      </c>
      <c r="O54" s="36">
        <f>O53/O14</f>
        <v>1.0494752623688156E-2</v>
      </c>
      <c r="P54" s="36">
        <f>P53/P14</f>
        <v>3.4059945504087197E-2</v>
      </c>
      <c r="Q54" s="36">
        <f>Q53/Q14</f>
        <v>3.6553524804177548E-2</v>
      </c>
      <c r="R54" s="36">
        <f>R53/R14</f>
        <v>1.9463087248322148E-2</v>
      </c>
      <c r="S54" s="37">
        <f>S53/S14</f>
        <v>2.5583791208791208E-2</v>
      </c>
      <c r="U54" s="36">
        <f>U53/U14</f>
        <v>1.3286713286713287E-2</v>
      </c>
      <c r="V54" s="36">
        <f>V53/V14</f>
        <v>4.3999999999999997E-2</v>
      </c>
      <c r="W54" s="36">
        <f>W53/W14</f>
        <v>6.8820224719101125E-2</v>
      </c>
      <c r="X54" s="36">
        <f>X53/X14</f>
        <v>3.2422417786012042E-2</v>
      </c>
      <c r="Y54" s="37">
        <f>Y53/Y14</f>
        <v>4.1941747572815533E-2</v>
      </c>
      <c r="AA54" s="38"/>
      <c r="AB54" s="38"/>
      <c r="AC54" s="38"/>
      <c r="AD54" s="38"/>
      <c r="AE54" s="38"/>
      <c r="AG54" s="38"/>
      <c r="AH54" s="38"/>
      <c r="AI54" s="38"/>
      <c r="AJ54" s="38"/>
      <c r="AK54" s="38"/>
      <c r="AM54" s="38"/>
      <c r="AN54" s="38"/>
      <c r="AO54" s="38"/>
      <c r="AP54" s="38"/>
      <c r="AQ54" s="38"/>
      <c r="AS54" s="38"/>
      <c r="AT54" s="38"/>
      <c r="AU54" s="38"/>
      <c r="AV54" s="38"/>
      <c r="AW54" s="38"/>
      <c r="IL54" s="35"/>
    </row>
    <row r="55" spans="1:246" s="11" customFormat="1" ht="18.75" hidden="1" customHeight="1">
      <c r="A55" s="11" t="s">
        <v>115</v>
      </c>
      <c r="B55" s="6"/>
      <c r="C55" s="36">
        <f>C46/C7</f>
        <v>-4.1786743515850142E-2</v>
      </c>
      <c r="D55" s="36">
        <f>D46/D7</f>
        <v>0.13214739517153748</v>
      </c>
      <c r="E55" s="36">
        <f>E46/E7</f>
        <v>0</v>
      </c>
      <c r="F55" s="36">
        <f>F46/F7</f>
        <v>9.3708165997322627E-3</v>
      </c>
      <c r="G55" s="37">
        <f>G46/G7</f>
        <v>2.6982560052648898E-2</v>
      </c>
      <c r="H55" s="15"/>
      <c r="I55" s="36">
        <f>I46/I7</f>
        <v>-7.5885328836424959E-2</v>
      </c>
      <c r="J55" s="36">
        <f>J46/J7</f>
        <v>1.2311901504787962E-2</v>
      </c>
      <c r="K55" s="36">
        <f>K46/K7</f>
        <v>-6.4850843060959796E-3</v>
      </c>
      <c r="L55" s="36">
        <f>L46/L7</f>
        <v>-0.90758620689655167</v>
      </c>
      <c r="M55" s="37">
        <f>M46/M7</f>
        <v>-0.24787234042553191</v>
      </c>
      <c r="O55" s="36">
        <f>O46/O7</f>
        <v>3.5778175313059034E-3</v>
      </c>
      <c r="P55" s="36">
        <f>P46/P7</f>
        <v>4.7965116279069769E-2</v>
      </c>
      <c r="Q55" s="36">
        <f>Q46/Q7</f>
        <v>6.6492829204693613E-2</v>
      </c>
      <c r="R55" s="36">
        <f>R46/R7</f>
        <v>2.556818181818182E-2</v>
      </c>
      <c r="S55" s="37">
        <f>S46/S7</f>
        <v>3.8263428991905817E-2</v>
      </c>
      <c r="U55" s="36">
        <f>U46/U7</f>
        <v>1.0416666666666666E-2</v>
      </c>
      <c r="V55" s="36">
        <f>V46/V7</f>
        <v>5.946601941747573E-2</v>
      </c>
      <c r="W55" s="36">
        <f>W46/W7</f>
        <v>6.3596491228070179E-2</v>
      </c>
      <c r="X55" s="36">
        <f>X46/X7</f>
        <v>3.2751091703056767E-3</v>
      </c>
      <c r="Y55" s="37">
        <f>Y46/Y7</f>
        <v>3.5198555956678701E-2</v>
      </c>
      <c r="AA55" s="38"/>
      <c r="AB55" s="38"/>
      <c r="AC55" s="38"/>
      <c r="AD55" s="38"/>
      <c r="AE55" s="38"/>
      <c r="AG55" s="38"/>
      <c r="AH55" s="38"/>
      <c r="AI55" s="38"/>
      <c r="AJ55" s="38"/>
      <c r="AK55" s="38"/>
      <c r="AM55" s="38"/>
      <c r="AN55" s="38"/>
      <c r="AO55" s="38"/>
      <c r="AP55" s="38"/>
      <c r="AQ55" s="38"/>
      <c r="AS55" s="38"/>
      <c r="AT55" s="38"/>
      <c r="AU55" s="38"/>
      <c r="AV55" s="38"/>
      <c r="AW55" s="38"/>
      <c r="IL55" s="35"/>
    </row>
    <row r="56" spans="1:246" s="11" customFormat="1" ht="18.75" hidden="1" customHeight="1">
      <c r="A56" s="11" t="s">
        <v>116</v>
      </c>
      <c r="B56" s="6"/>
      <c r="C56" s="36"/>
      <c r="D56" s="36"/>
      <c r="E56" s="36"/>
      <c r="F56" s="36"/>
      <c r="G56" s="37"/>
      <c r="H56" s="15"/>
      <c r="I56" s="36"/>
      <c r="J56" s="36"/>
      <c r="K56" s="36"/>
      <c r="L56" s="36"/>
      <c r="M56" s="37"/>
      <c r="O56" s="36">
        <f>+O46/O16</f>
        <v>3.5460992907801418E-3</v>
      </c>
      <c r="P56" s="36">
        <f>+P46/P16</f>
        <v>4.7413793103448273E-2</v>
      </c>
      <c r="Q56" s="36">
        <f>+Q46/Q16</f>
        <v>6.6233766233766228E-2</v>
      </c>
      <c r="R56" s="36">
        <f>+R46/R16</f>
        <v>2.556818181818182E-2</v>
      </c>
      <c r="S56" s="36">
        <f>+S46/S16</f>
        <v>3.8039502560351136E-2</v>
      </c>
      <c r="U56" s="36"/>
      <c r="V56" s="36"/>
      <c r="W56" s="36"/>
      <c r="X56" s="36"/>
      <c r="Y56" s="37"/>
      <c r="AA56" s="38"/>
      <c r="AB56" s="38"/>
      <c r="AC56" s="38"/>
      <c r="AD56" s="38"/>
      <c r="AE56" s="38"/>
      <c r="AG56" s="38"/>
      <c r="AH56" s="38"/>
      <c r="AI56" s="38"/>
      <c r="AJ56" s="38"/>
      <c r="AK56" s="38"/>
      <c r="AM56" s="38"/>
      <c r="AN56" s="38"/>
      <c r="AO56" s="38"/>
      <c r="AP56" s="38"/>
      <c r="AQ56" s="38"/>
      <c r="AS56" s="38"/>
      <c r="AT56" s="38"/>
      <c r="AU56" s="38"/>
      <c r="AV56" s="38"/>
      <c r="AW56" s="38"/>
      <c r="IL56" s="35"/>
    </row>
    <row r="57" spans="1:246" s="11" customFormat="1" ht="18.75" hidden="1" customHeight="1">
      <c r="A57" s="11" t="s">
        <v>49</v>
      </c>
      <c r="B57" s="6"/>
      <c r="C57" s="36">
        <f>C47/C8</f>
        <v>3.9030955585464336E-2</v>
      </c>
      <c r="D57" s="36">
        <f>D47/D8</f>
        <v>1.7735334242837655E-2</v>
      </c>
      <c r="E57" s="36">
        <f>E47/E8</f>
        <v>1.0279001468428781E-2</v>
      </c>
      <c r="F57" s="36">
        <f>F47/F8</f>
        <v>2.4793388429752067E-2</v>
      </c>
      <c r="G57" s="37">
        <f>G47/G8</f>
        <v>2.3239680887963927E-2</v>
      </c>
      <c r="H57" s="15"/>
      <c r="I57" s="36">
        <f>I47/I8</f>
        <v>3.2305433186490456E-2</v>
      </c>
      <c r="J57" s="36">
        <f>J47/J8</f>
        <v>6.2674094707520889E-2</v>
      </c>
      <c r="K57" s="36">
        <f>K47/K8</f>
        <v>6.2121212121212119E-2</v>
      </c>
      <c r="L57" s="36">
        <f>L47/L8</f>
        <v>6.6765578635014838E-2</v>
      </c>
      <c r="M57" s="37">
        <f>M47/M8</f>
        <v>5.598243688254665E-2</v>
      </c>
      <c r="O57" s="36">
        <f>O47/O8</f>
        <v>8.3209509658246653E-2</v>
      </c>
      <c r="P57" s="36">
        <f>P47/P8</f>
        <v>8.442503639010189E-2</v>
      </c>
      <c r="Q57" s="36">
        <f>Q47/Q8</f>
        <v>7.0015220700152203E-2</v>
      </c>
      <c r="R57" s="36">
        <f>R47/R8</f>
        <v>8.4795321637426896E-2</v>
      </c>
      <c r="S57" s="37">
        <f>S47/S8</f>
        <v>8.0710847834135499E-2</v>
      </c>
      <c r="U57" s="36">
        <f>U47/U8</f>
        <v>8.8193456614509252E-2</v>
      </c>
      <c r="V57" s="36">
        <f>V47/V8</f>
        <v>6.708975521305531E-2</v>
      </c>
      <c r="W57" s="36">
        <f>W47/W8</f>
        <v>5.6669572798605058E-2</v>
      </c>
      <c r="X57" s="36">
        <f>X47/X8</f>
        <v>5.7858376511226252E-2</v>
      </c>
      <c r="Y57" s="37">
        <f>Y47/Y8</f>
        <v>6.5190951106786674E-2</v>
      </c>
      <c r="AA57" s="38"/>
      <c r="AB57" s="38"/>
      <c r="AC57" s="38"/>
      <c r="AD57" s="38"/>
      <c r="AE57" s="38"/>
      <c r="AG57" s="38"/>
      <c r="AH57" s="38"/>
      <c r="AI57" s="38"/>
      <c r="AJ57" s="38"/>
      <c r="AK57" s="38"/>
      <c r="AM57" s="38"/>
      <c r="AN57" s="38"/>
      <c r="AO57" s="38"/>
      <c r="AP57" s="38"/>
      <c r="AQ57" s="38"/>
      <c r="AS57" s="38"/>
      <c r="AT57" s="38"/>
      <c r="AU57" s="38"/>
      <c r="AV57" s="38"/>
      <c r="AW57" s="38"/>
      <c r="IL57" s="35"/>
    </row>
    <row r="58" spans="1:246" s="6" customFormat="1" ht="18.75" hidden="1" customHeight="1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O58" s="15"/>
      <c r="P58" s="15"/>
      <c r="Q58" s="15"/>
      <c r="R58" s="15"/>
      <c r="S58" s="15"/>
      <c r="U58" s="15"/>
      <c r="V58" s="15"/>
      <c r="W58" s="15"/>
      <c r="X58" s="15"/>
      <c r="Y58" s="15"/>
      <c r="AA58" s="15"/>
      <c r="AB58" s="15"/>
      <c r="AC58" s="15"/>
      <c r="AD58" s="15"/>
      <c r="AE58" s="15"/>
      <c r="AG58" s="15"/>
      <c r="AH58" s="15"/>
      <c r="AI58" s="15"/>
      <c r="AJ58" s="15"/>
      <c r="AK58" s="15"/>
      <c r="AM58" s="15"/>
      <c r="AN58" s="15"/>
      <c r="AO58" s="15"/>
      <c r="AP58" s="15"/>
      <c r="AQ58" s="15"/>
      <c r="AS58" s="15"/>
      <c r="AT58" s="15"/>
      <c r="AU58" s="15"/>
      <c r="AV58" s="15"/>
      <c r="AW58" s="15"/>
      <c r="IL58" s="3"/>
    </row>
    <row r="59" spans="1:246" s="6" customFormat="1" ht="18.75" hidden="1" customHeight="1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O59" s="15"/>
      <c r="P59" s="15"/>
      <c r="Q59" s="15"/>
      <c r="R59" s="15"/>
      <c r="S59" s="15"/>
      <c r="U59" s="15"/>
      <c r="V59" s="15"/>
      <c r="W59" s="15"/>
      <c r="X59" s="15"/>
      <c r="Y59" s="15"/>
      <c r="AA59" s="15"/>
      <c r="AB59" s="15"/>
      <c r="AC59" s="15"/>
      <c r="AD59" s="15"/>
      <c r="AE59" s="15"/>
      <c r="AG59" s="15"/>
      <c r="AH59" s="15"/>
      <c r="AI59" s="15"/>
      <c r="AJ59" s="15"/>
      <c r="AK59" s="15"/>
      <c r="AM59" s="15"/>
      <c r="AN59" s="15"/>
      <c r="AO59" s="15"/>
      <c r="AP59" s="15"/>
      <c r="AQ59" s="15"/>
      <c r="AS59" s="15"/>
      <c r="AT59" s="15"/>
      <c r="AU59" s="15"/>
      <c r="AV59" s="15"/>
      <c r="AW59" s="15"/>
      <c r="IL59" s="3"/>
    </row>
    <row r="60" spans="1:246">
      <c r="C60" s="13"/>
      <c r="D60" s="13"/>
      <c r="E60" s="13"/>
      <c r="F60" s="13"/>
      <c r="G60" s="18"/>
      <c r="H60" s="15"/>
      <c r="I60" s="13"/>
      <c r="J60" s="13"/>
      <c r="K60" s="13"/>
      <c r="L60" s="13"/>
      <c r="M60" s="18"/>
      <c r="O60" s="13"/>
      <c r="P60" s="13"/>
      <c r="Q60" s="13"/>
      <c r="R60" s="13"/>
      <c r="S60" s="18"/>
      <c r="U60" s="13"/>
      <c r="V60" s="13"/>
      <c r="W60" s="13"/>
      <c r="X60" s="13"/>
      <c r="Y60" s="18"/>
      <c r="AA60" s="13"/>
      <c r="AB60" s="13"/>
      <c r="AC60" s="13"/>
      <c r="AD60" s="13"/>
      <c r="AE60" s="18"/>
      <c r="AG60" s="13"/>
      <c r="AH60" s="13"/>
      <c r="AI60" s="13"/>
      <c r="AJ60" s="13"/>
      <c r="AK60" s="18"/>
      <c r="AM60" s="13"/>
      <c r="AN60" s="13"/>
      <c r="AO60" s="13"/>
      <c r="AP60" s="13"/>
      <c r="AQ60" s="18"/>
      <c r="AS60" s="13"/>
      <c r="AT60" s="13"/>
      <c r="AU60" s="13"/>
      <c r="AV60" s="13"/>
      <c r="AW60" s="18"/>
    </row>
    <row r="61" spans="1:246">
      <c r="A61" s="10" t="s">
        <v>2</v>
      </c>
      <c r="C61" s="13"/>
      <c r="D61" s="13"/>
      <c r="E61" s="13"/>
      <c r="F61" s="13"/>
      <c r="G61" s="14"/>
      <c r="H61" s="15"/>
      <c r="I61" s="13"/>
      <c r="J61" s="13"/>
      <c r="K61" s="13"/>
      <c r="L61" s="13"/>
      <c r="M61" s="14"/>
      <c r="O61" s="13"/>
      <c r="P61" s="13"/>
      <c r="Q61" s="13"/>
      <c r="R61" s="13"/>
      <c r="S61" s="14"/>
      <c r="U61" s="13"/>
      <c r="V61" s="13"/>
      <c r="W61" s="13"/>
      <c r="X61" s="13"/>
      <c r="Y61" s="14"/>
      <c r="AA61" s="13"/>
      <c r="AB61" s="13"/>
      <c r="AC61" s="13"/>
      <c r="AD61" s="13"/>
      <c r="AE61" s="14"/>
      <c r="AG61" s="13"/>
      <c r="AH61" s="13"/>
      <c r="AI61" s="13"/>
      <c r="AJ61" s="13"/>
      <c r="AK61" s="14"/>
      <c r="AM61" s="13"/>
      <c r="AN61" s="13"/>
      <c r="AO61" s="13"/>
      <c r="AP61" s="13"/>
      <c r="AQ61" s="14"/>
      <c r="AS61" s="13"/>
      <c r="AT61" s="13"/>
      <c r="AU61" s="13"/>
      <c r="AV61" s="13"/>
      <c r="AW61" s="14"/>
      <c r="AY61" s="13"/>
      <c r="AZ61" s="13"/>
      <c r="BA61" s="13"/>
      <c r="BB61" s="13"/>
      <c r="BC61" s="14"/>
      <c r="BE61" s="13"/>
      <c r="BF61" s="13"/>
      <c r="BG61" s="13"/>
      <c r="BH61" s="13"/>
      <c r="BI61" s="14"/>
      <c r="BK61" s="13"/>
      <c r="BL61" s="13"/>
      <c r="BM61" s="13"/>
      <c r="BN61" s="13"/>
      <c r="BO61" s="14"/>
      <c r="BQ61" s="13"/>
      <c r="BR61" s="13"/>
      <c r="BS61" s="13"/>
      <c r="BT61" s="13"/>
      <c r="BU61" s="14"/>
      <c r="BW61" s="13"/>
      <c r="BX61" s="13"/>
      <c r="BY61" s="13"/>
      <c r="BZ61" s="13"/>
      <c r="CA61" s="14"/>
      <c r="CC61" s="13"/>
      <c r="CD61" s="13"/>
      <c r="CE61" s="13"/>
      <c r="CF61" s="13"/>
      <c r="CG61" s="14"/>
      <c r="CI61" s="13"/>
      <c r="CJ61" s="13"/>
      <c r="CK61" s="13"/>
      <c r="CL61" s="13"/>
      <c r="CM61" s="14"/>
    </row>
    <row r="62" spans="1:246">
      <c r="A62" s="4" t="s">
        <v>148</v>
      </c>
      <c r="C62" s="13">
        <v>-31</v>
      </c>
      <c r="D62" s="13">
        <v>102</v>
      </c>
      <c r="E62" s="13">
        <v>-1</v>
      </c>
      <c r="F62" s="13">
        <v>5</v>
      </c>
      <c r="G62" s="14">
        <f>SUM(C62:F62)</f>
        <v>75</v>
      </c>
      <c r="H62" s="15"/>
      <c r="I62" s="13">
        <v>-47</v>
      </c>
      <c r="J62" s="13">
        <v>7</v>
      </c>
      <c r="K62" s="13">
        <v>-7</v>
      </c>
      <c r="L62" s="13">
        <v>-685</v>
      </c>
      <c r="M62" s="14">
        <f>SUM(I62:L62)</f>
        <v>-732</v>
      </c>
      <c r="O62" s="13">
        <v>2</v>
      </c>
      <c r="P62" s="13">
        <v>33</v>
      </c>
      <c r="Q62" s="13">
        <v>51</v>
      </c>
      <c r="R62" s="13">
        <v>18</v>
      </c>
      <c r="S62" s="14">
        <f>SUM(O62:R62)</f>
        <v>104</v>
      </c>
      <c r="U62" s="13">
        <v>6</v>
      </c>
      <c r="V62" s="13">
        <v>48</v>
      </c>
      <c r="W62" s="13">
        <v>57</v>
      </c>
      <c r="X62" s="13">
        <v>4</v>
      </c>
      <c r="Y62" s="14">
        <f>SUM(U62:X62)</f>
        <v>115</v>
      </c>
      <c r="AA62" s="13">
        <v>6</v>
      </c>
      <c r="AB62" s="13">
        <v>49</v>
      </c>
      <c r="AC62" s="13">
        <v>51</v>
      </c>
      <c r="AD62" s="13">
        <v>30</v>
      </c>
      <c r="AE62" s="14">
        <f>SUM(AA62:AD62)</f>
        <v>136</v>
      </c>
      <c r="AG62" s="13">
        <v>6</v>
      </c>
      <c r="AH62" s="13">
        <v>47</v>
      </c>
      <c r="AI62" s="13">
        <v>65</v>
      </c>
      <c r="AJ62" s="13">
        <v>57</v>
      </c>
      <c r="AK62" s="14">
        <f>SUM(AG62:AJ62)</f>
        <v>175</v>
      </c>
      <c r="AM62" s="13">
        <v>51</v>
      </c>
      <c r="AN62" s="13">
        <v>87</v>
      </c>
      <c r="AO62" s="13">
        <v>104</v>
      </c>
      <c r="AP62" s="13">
        <v>59</v>
      </c>
      <c r="AQ62" s="14">
        <f>SUM(AM62:AP62)</f>
        <v>301</v>
      </c>
      <c r="AS62" s="13">
        <v>77</v>
      </c>
      <c r="AT62" s="13">
        <v>163</v>
      </c>
      <c r="AU62" s="13">
        <v>145</v>
      </c>
      <c r="AV62" s="13">
        <v>189</v>
      </c>
      <c r="AW62" s="14">
        <f>SUM(AS62:AV62)</f>
        <v>574</v>
      </c>
      <c r="AY62" s="13">
        <v>86</v>
      </c>
      <c r="AZ62" s="13">
        <v>153</v>
      </c>
      <c r="BA62" s="13">
        <v>120</v>
      </c>
      <c r="BB62" s="13">
        <v>-61</v>
      </c>
      <c r="BC62" s="14">
        <f>SUM(AY62:BB62)</f>
        <v>298</v>
      </c>
      <c r="BE62" s="13">
        <v>-26</v>
      </c>
      <c r="BF62" s="13">
        <v>104</v>
      </c>
      <c r="BG62" s="13">
        <v>71</v>
      </c>
      <c r="BH62" s="82">
        <v>48</v>
      </c>
      <c r="BI62" s="14">
        <f>SUM(BE62:BH62)</f>
        <v>197</v>
      </c>
      <c r="BK62" s="13">
        <v>13</v>
      </c>
      <c r="BL62" s="13">
        <v>30</v>
      </c>
      <c r="BM62" s="13">
        <v>87</v>
      </c>
      <c r="BN62" s="82">
        <v>-21</v>
      </c>
      <c r="BO62" s="14">
        <f>SUM(BK62:BN62)</f>
        <v>109</v>
      </c>
      <c r="BQ62" s="13">
        <v>-36</v>
      </c>
      <c r="BR62" s="13">
        <v>-56</v>
      </c>
      <c r="BS62" s="13">
        <v>2</v>
      </c>
      <c r="BT62" s="82">
        <v>-64</v>
      </c>
      <c r="BU62" s="14">
        <f>SUM(BQ62:BT62)</f>
        <v>-154</v>
      </c>
      <c r="BW62" s="13">
        <v>-29</v>
      </c>
      <c r="BX62" s="13">
        <v>-25</v>
      </c>
      <c r="BY62" s="13">
        <v>29</v>
      </c>
      <c r="BZ62" s="82">
        <v>23</v>
      </c>
      <c r="CA62" s="14">
        <f>SUM(BW62:BZ62)</f>
        <v>-2</v>
      </c>
      <c r="CC62" s="13">
        <v>-29</v>
      </c>
      <c r="CD62" s="13">
        <v>-3</v>
      </c>
      <c r="CE62" s="13">
        <v>25</v>
      </c>
      <c r="CF62" s="82">
        <v>22</v>
      </c>
      <c r="CG62" s="14">
        <f>SUM(CC62:CF62)</f>
        <v>15</v>
      </c>
      <c r="CI62" s="13">
        <v>-80</v>
      </c>
      <c r="CJ62" s="13">
        <v>-61</v>
      </c>
      <c r="CK62" s="13">
        <v>20</v>
      </c>
      <c r="CL62" s="82">
        <v>-8</v>
      </c>
      <c r="CM62" s="14">
        <f>SUM(CI62:CL62)</f>
        <v>-129</v>
      </c>
    </row>
    <row r="63" spans="1:246">
      <c r="A63" s="4" t="s">
        <v>211</v>
      </c>
      <c r="C63" s="13">
        <v>15</v>
      </c>
      <c r="D63" s="13">
        <v>-1</v>
      </c>
      <c r="E63" s="13">
        <v>-7</v>
      </c>
      <c r="F63" s="13">
        <v>4</v>
      </c>
      <c r="G63" s="14">
        <f t="shared" ref="G63:G68" si="72">SUM(C63:F63)</f>
        <v>11</v>
      </c>
      <c r="H63" s="15"/>
      <c r="I63" s="13">
        <v>8</v>
      </c>
      <c r="J63" s="13">
        <v>31</v>
      </c>
      <c r="K63" s="13">
        <v>26</v>
      </c>
      <c r="L63" s="13">
        <v>30</v>
      </c>
      <c r="M63" s="14">
        <f t="shared" ref="M63:M68" si="73">SUM(I63:L63)</f>
        <v>95</v>
      </c>
      <c r="O63" s="13">
        <v>41</v>
      </c>
      <c r="P63" s="13">
        <v>45</v>
      </c>
      <c r="Q63" s="13">
        <v>33</v>
      </c>
      <c r="R63" s="13">
        <v>44</v>
      </c>
      <c r="S63" s="14">
        <f t="shared" ref="S63:S68" si="74">SUM(O63:R63)</f>
        <v>163</v>
      </c>
      <c r="U63" s="13">
        <v>48</v>
      </c>
      <c r="V63" s="13">
        <v>55</v>
      </c>
      <c r="W63" s="13">
        <v>45</v>
      </c>
      <c r="X63" s="13">
        <v>47</v>
      </c>
      <c r="Y63" s="14">
        <f t="shared" ref="Y63:Y68" si="75">SUM(U63:X63)</f>
        <v>195</v>
      </c>
      <c r="AA63" s="13">
        <v>59</v>
      </c>
      <c r="AB63" s="13">
        <v>-106</v>
      </c>
      <c r="AC63" s="13">
        <v>65</v>
      </c>
      <c r="AD63" s="13">
        <v>61</v>
      </c>
      <c r="AE63" s="14">
        <f t="shared" ref="AE63:AE68" si="76">SUM(AA63:AD63)</f>
        <v>79</v>
      </c>
      <c r="AG63" s="13">
        <v>71</v>
      </c>
      <c r="AH63" s="13">
        <v>88</v>
      </c>
      <c r="AI63" s="13">
        <v>82</v>
      </c>
      <c r="AJ63" s="13">
        <v>93</v>
      </c>
      <c r="AK63" s="14">
        <f t="shared" ref="AK63:AK68" si="77">SUM(AG63:AJ63)</f>
        <v>334</v>
      </c>
      <c r="AM63" s="13">
        <v>79</v>
      </c>
      <c r="AN63" s="13">
        <v>236</v>
      </c>
      <c r="AO63" s="13">
        <v>93</v>
      </c>
      <c r="AP63" s="13">
        <v>100</v>
      </c>
      <c r="AQ63" s="14">
        <f t="shared" ref="AQ63:AQ68" si="78">SUM(AM63:AP63)</f>
        <v>508</v>
      </c>
      <c r="AS63" s="13">
        <v>114</v>
      </c>
      <c r="AT63" s="13">
        <v>143</v>
      </c>
      <c r="AU63" s="13">
        <v>93</v>
      </c>
      <c r="AV63" s="13">
        <v>144</v>
      </c>
      <c r="AW63" s="14">
        <f t="shared" ref="AW63:AW68" si="79">SUM(AS63:AV63)</f>
        <v>494</v>
      </c>
      <c r="AY63" s="13">
        <v>117</v>
      </c>
      <c r="AZ63" s="13">
        <v>151</v>
      </c>
      <c r="BA63" s="13">
        <v>62</v>
      </c>
      <c r="BB63" s="13">
        <v>61</v>
      </c>
      <c r="BC63" s="14">
        <f t="shared" ref="BC63:BC68" si="80">SUM(AY63:BB63)</f>
        <v>391</v>
      </c>
      <c r="BE63" s="13">
        <v>38</v>
      </c>
      <c r="BF63" s="13">
        <v>24</v>
      </c>
      <c r="BG63" s="13">
        <v>40</v>
      </c>
      <c r="BH63" s="82">
        <v>39</v>
      </c>
      <c r="BI63" s="14">
        <f t="shared" ref="BI63:BI68" si="81">SUM(BE63:BH63)</f>
        <v>141</v>
      </c>
      <c r="BK63" s="13">
        <v>107</v>
      </c>
      <c r="BL63" s="13">
        <v>123</v>
      </c>
      <c r="BM63" s="13">
        <v>59</v>
      </c>
      <c r="BN63" s="82">
        <v>51</v>
      </c>
      <c r="BO63" s="14">
        <f t="shared" ref="BO63:BO68" si="82">SUM(BK63:BN63)</f>
        <v>340</v>
      </c>
      <c r="BQ63" s="13">
        <v>125</v>
      </c>
      <c r="BR63" s="13">
        <v>145</v>
      </c>
      <c r="BS63" s="13">
        <v>104</v>
      </c>
      <c r="BT63" s="82">
        <v>116</v>
      </c>
      <c r="BU63" s="14">
        <f t="shared" ref="BU63:BU68" si="83">SUM(BQ63:BT63)</f>
        <v>490</v>
      </c>
      <c r="BW63" s="13">
        <v>142</v>
      </c>
      <c r="BX63" s="13">
        <v>143</v>
      </c>
      <c r="BY63" s="13">
        <v>87</v>
      </c>
      <c r="BZ63" s="82">
        <v>146</v>
      </c>
      <c r="CA63" s="14">
        <f t="shared" ref="CA63:CA68" si="84">SUM(BW63:BZ63)</f>
        <v>518</v>
      </c>
      <c r="CC63" s="13">
        <v>136</v>
      </c>
      <c r="CD63" s="13">
        <v>171</v>
      </c>
      <c r="CE63" s="13">
        <v>103</v>
      </c>
      <c r="CF63" s="82">
        <v>154</v>
      </c>
      <c r="CG63" s="14">
        <f t="shared" ref="CG63:CG68" si="85">SUM(CC63:CF63)</f>
        <v>564</v>
      </c>
      <c r="CI63" s="13">
        <v>255</v>
      </c>
      <c r="CJ63" s="13">
        <v>165</v>
      </c>
      <c r="CK63" s="13">
        <v>88</v>
      </c>
      <c r="CL63" s="82">
        <v>165</v>
      </c>
      <c r="CM63" s="14">
        <f t="shared" ref="CM63:CM68" si="86">SUM(CI63:CL63)</f>
        <v>673</v>
      </c>
    </row>
    <row r="64" spans="1:246" hidden="1">
      <c r="A64" s="4" t="s">
        <v>41</v>
      </c>
      <c r="C64" s="13">
        <v>6</v>
      </c>
      <c r="D64" s="13">
        <v>6</v>
      </c>
      <c r="E64" s="13">
        <v>5</v>
      </c>
      <c r="F64" s="13">
        <v>5</v>
      </c>
      <c r="G64" s="14">
        <f t="shared" si="72"/>
        <v>22</v>
      </c>
      <c r="H64" s="15"/>
      <c r="I64" s="13">
        <f>61</f>
        <v>61</v>
      </c>
      <c r="J64" s="13">
        <v>13</v>
      </c>
      <c r="K64" s="13">
        <v>41</v>
      </c>
      <c r="L64" s="13">
        <f>26-10</f>
        <v>16</v>
      </c>
      <c r="M64" s="14">
        <f t="shared" si="73"/>
        <v>131</v>
      </c>
      <c r="O64" s="13">
        <v>0</v>
      </c>
      <c r="P64" s="13">
        <v>0</v>
      </c>
      <c r="Q64" s="13">
        <v>-2</v>
      </c>
      <c r="R64" s="13">
        <v>2</v>
      </c>
      <c r="S64" s="14">
        <f t="shared" si="74"/>
        <v>0</v>
      </c>
      <c r="U64" s="13">
        <v>-1</v>
      </c>
      <c r="V64" s="13">
        <v>0</v>
      </c>
      <c r="W64" s="13">
        <v>136</v>
      </c>
      <c r="X64" s="13">
        <v>43</v>
      </c>
      <c r="Y64" s="14">
        <f t="shared" si="75"/>
        <v>178</v>
      </c>
      <c r="AA64" s="13">
        <v>-1</v>
      </c>
      <c r="AB64" s="13">
        <v>0</v>
      </c>
      <c r="AC64" s="13">
        <v>136</v>
      </c>
      <c r="AD64" s="13">
        <v>43</v>
      </c>
      <c r="AE64" s="14">
        <f t="shared" si="76"/>
        <v>178</v>
      </c>
      <c r="AG64" s="13">
        <v>4</v>
      </c>
      <c r="AH64" s="13">
        <v>2</v>
      </c>
      <c r="AI64" s="13">
        <v>0</v>
      </c>
      <c r="AJ64" s="13">
        <v>1</v>
      </c>
      <c r="AK64" s="14">
        <f t="shared" si="77"/>
        <v>7</v>
      </c>
      <c r="AM64" s="13"/>
      <c r="AN64" s="13"/>
      <c r="AO64" s="13"/>
      <c r="AP64" s="13"/>
      <c r="AQ64" s="14">
        <f t="shared" si="78"/>
        <v>0</v>
      </c>
      <c r="AS64" s="13"/>
      <c r="AT64" s="13"/>
      <c r="AU64" s="13"/>
      <c r="AV64" s="13"/>
      <c r="AW64" s="14">
        <f t="shared" si="79"/>
        <v>0</v>
      </c>
      <c r="AY64" s="13"/>
      <c r="AZ64" s="13"/>
      <c r="BA64" s="13"/>
      <c r="BB64" s="13"/>
      <c r="BC64" s="14">
        <f t="shared" si="80"/>
        <v>0</v>
      </c>
      <c r="BE64" s="13"/>
      <c r="BF64" s="13"/>
      <c r="BG64" s="13"/>
      <c r="BH64" s="82"/>
      <c r="BI64" s="14">
        <f t="shared" si="81"/>
        <v>0</v>
      </c>
      <c r="BK64" s="13"/>
      <c r="BL64" s="13"/>
      <c r="BM64" s="13"/>
      <c r="BN64" s="82"/>
      <c r="BO64" s="14">
        <f t="shared" si="82"/>
        <v>0</v>
      </c>
      <c r="BQ64" s="13"/>
      <c r="BR64" s="13"/>
      <c r="BS64" s="13"/>
      <c r="BT64" s="82"/>
      <c r="BU64" s="14">
        <f t="shared" si="83"/>
        <v>0</v>
      </c>
      <c r="BW64" s="13"/>
      <c r="BX64" s="13"/>
      <c r="BY64" s="13"/>
      <c r="BZ64" s="82"/>
      <c r="CA64" s="14">
        <f t="shared" si="84"/>
        <v>0</v>
      </c>
      <c r="CC64" s="13"/>
      <c r="CD64" s="13"/>
      <c r="CE64" s="13"/>
      <c r="CF64" s="82"/>
      <c r="CG64" s="14">
        <f t="shared" si="85"/>
        <v>0</v>
      </c>
      <c r="CI64" s="13"/>
      <c r="CJ64" s="13"/>
      <c r="CK64" s="13"/>
      <c r="CL64" s="82"/>
      <c r="CM64" s="14">
        <f t="shared" si="86"/>
        <v>0</v>
      </c>
    </row>
    <row r="65" spans="1:246">
      <c r="A65" s="4" t="s">
        <v>168</v>
      </c>
      <c r="C65" s="13">
        <v>-19</v>
      </c>
      <c r="D65" s="13">
        <v>-4</v>
      </c>
      <c r="E65" s="13">
        <v>-15</v>
      </c>
      <c r="F65" s="13">
        <v>-17</v>
      </c>
      <c r="G65" s="14">
        <f t="shared" si="72"/>
        <v>-55</v>
      </c>
      <c r="H65" s="15"/>
      <c r="I65" s="13">
        <v>-8</v>
      </c>
      <c r="J65" s="13">
        <v>-12</v>
      </c>
      <c r="K65" s="13">
        <v>-12</v>
      </c>
      <c r="L65" s="13">
        <v>-136</v>
      </c>
      <c r="M65" s="14">
        <f t="shared" si="73"/>
        <v>-168</v>
      </c>
      <c r="O65" s="13">
        <v>-13</v>
      </c>
      <c r="P65" s="13">
        <v>-6</v>
      </c>
      <c r="Q65" s="13">
        <v>1</v>
      </c>
      <c r="R65" s="13">
        <v>-14</v>
      </c>
      <c r="S65" s="14">
        <f t="shared" si="74"/>
        <v>-32</v>
      </c>
      <c r="U65" s="13">
        <v>-17</v>
      </c>
      <c r="V65" s="13">
        <v>-4</v>
      </c>
      <c r="W65" s="13">
        <v>-15</v>
      </c>
      <c r="X65" s="13">
        <v>-25</v>
      </c>
      <c r="Y65" s="14">
        <f t="shared" si="75"/>
        <v>-61</v>
      </c>
      <c r="AA65" s="13">
        <v>-9</v>
      </c>
      <c r="AB65" s="13">
        <v>-3</v>
      </c>
      <c r="AC65" s="13">
        <v>-8</v>
      </c>
      <c r="AD65" s="13">
        <v>-13</v>
      </c>
      <c r="AE65" s="14">
        <f t="shared" si="76"/>
        <v>-33</v>
      </c>
      <c r="AG65" s="13">
        <v>-4</v>
      </c>
      <c r="AH65" s="13">
        <v>-1</v>
      </c>
      <c r="AI65" s="13">
        <v>1</v>
      </c>
      <c r="AJ65" s="13">
        <v>14</v>
      </c>
      <c r="AK65" s="14">
        <f t="shared" si="77"/>
        <v>10</v>
      </c>
      <c r="AM65" s="13">
        <v>6</v>
      </c>
      <c r="AN65" s="13">
        <v>16</v>
      </c>
      <c r="AO65" s="13">
        <v>15</v>
      </c>
      <c r="AP65" s="13">
        <v>16</v>
      </c>
      <c r="AQ65" s="14">
        <f t="shared" si="78"/>
        <v>53</v>
      </c>
      <c r="AS65" s="13">
        <v>16</v>
      </c>
      <c r="AT65" s="13">
        <v>35</v>
      </c>
      <c r="AU65" s="13">
        <v>21</v>
      </c>
      <c r="AV65" s="13">
        <v>49</v>
      </c>
      <c r="AW65" s="14">
        <f t="shared" si="79"/>
        <v>121</v>
      </c>
      <c r="AY65" s="13">
        <v>47</v>
      </c>
      <c r="AZ65" s="13">
        <v>91</v>
      </c>
      <c r="BA65" s="13">
        <v>76</v>
      </c>
      <c r="BB65" s="13">
        <v>8</v>
      </c>
      <c r="BC65" s="14">
        <f t="shared" si="80"/>
        <v>222</v>
      </c>
      <c r="BE65" s="13">
        <v>37</v>
      </c>
      <c r="BF65" s="13">
        <v>43</v>
      </c>
      <c r="BG65" s="13">
        <v>39</v>
      </c>
      <c r="BH65" s="82">
        <v>17</v>
      </c>
      <c r="BI65" s="14">
        <f t="shared" si="81"/>
        <v>136</v>
      </c>
      <c r="BK65" s="13">
        <v>16</v>
      </c>
      <c r="BL65" s="13">
        <v>23</v>
      </c>
      <c r="BM65" s="13">
        <v>18</v>
      </c>
      <c r="BN65" s="82">
        <v>33</v>
      </c>
      <c r="BO65" s="14">
        <f t="shared" si="82"/>
        <v>90</v>
      </c>
      <c r="BQ65" s="13">
        <v>28</v>
      </c>
      <c r="BR65" s="13">
        <v>21</v>
      </c>
      <c r="BS65" s="13">
        <v>90</v>
      </c>
      <c r="BT65" s="82">
        <v>19</v>
      </c>
      <c r="BU65" s="14">
        <f t="shared" si="83"/>
        <v>158</v>
      </c>
      <c r="BW65" s="99">
        <v>0</v>
      </c>
      <c r="BX65" s="99">
        <v>0</v>
      </c>
      <c r="BY65" s="13">
        <v>0</v>
      </c>
      <c r="BZ65" s="82">
        <v>0</v>
      </c>
      <c r="CA65" s="14">
        <f t="shared" si="84"/>
        <v>0</v>
      </c>
      <c r="CC65" s="99"/>
      <c r="CD65" s="99"/>
      <c r="CE65" s="13"/>
      <c r="CF65" s="82"/>
      <c r="CG65" s="14">
        <f t="shared" si="85"/>
        <v>0</v>
      </c>
      <c r="CI65" s="99"/>
      <c r="CJ65" s="99"/>
      <c r="CK65" s="13"/>
      <c r="CL65" s="82"/>
      <c r="CM65" s="14">
        <f t="shared" si="86"/>
        <v>0</v>
      </c>
    </row>
    <row r="66" spans="1:246">
      <c r="A66" s="4" t="s">
        <v>146</v>
      </c>
      <c r="C66" s="13">
        <f>-1-10</f>
        <v>-11</v>
      </c>
      <c r="D66" s="13">
        <v>-11</v>
      </c>
      <c r="E66" s="13">
        <f>13-30</f>
        <v>-17</v>
      </c>
      <c r="F66" s="13">
        <v>-29</v>
      </c>
      <c r="G66" s="14">
        <f t="shared" si="72"/>
        <v>-68</v>
      </c>
      <c r="H66" s="15"/>
      <c r="I66" s="13">
        <v>-30</v>
      </c>
      <c r="J66" s="13">
        <v>-28</v>
      </c>
      <c r="K66" s="13">
        <v>-30</v>
      </c>
      <c r="L66" s="13">
        <f>-58</f>
        <v>-58</v>
      </c>
      <c r="M66" s="14">
        <f t="shared" si="73"/>
        <v>-146</v>
      </c>
      <c r="O66" s="13">
        <v>-29</v>
      </c>
      <c r="P66" s="13">
        <v>-27</v>
      </c>
      <c r="Q66" s="13">
        <v>-30</v>
      </c>
      <c r="R66" s="13">
        <v>-49</v>
      </c>
      <c r="S66" s="14">
        <f t="shared" si="74"/>
        <v>-135</v>
      </c>
      <c r="U66" s="13">
        <v>-28</v>
      </c>
      <c r="V66" s="13">
        <v>-26</v>
      </c>
      <c r="W66" s="13">
        <v>-94</v>
      </c>
      <c r="X66" s="13">
        <v>-12</v>
      </c>
      <c r="Y66" s="14">
        <f t="shared" si="75"/>
        <v>-160</v>
      </c>
      <c r="AA66" s="13">
        <v>-28</v>
      </c>
      <c r="AB66" s="13">
        <v>-26</v>
      </c>
      <c r="AC66" s="13">
        <v>-94</v>
      </c>
      <c r="AD66" s="13">
        <v>-11</v>
      </c>
      <c r="AE66" s="14">
        <f t="shared" si="76"/>
        <v>-159</v>
      </c>
      <c r="AG66" s="13">
        <v>-4</v>
      </c>
      <c r="AH66" s="13">
        <v>-8</v>
      </c>
      <c r="AI66" s="13">
        <v>-4</v>
      </c>
      <c r="AJ66" s="13">
        <v>-13</v>
      </c>
      <c r="AK66" s="14">
        <f t="shared" si="77"/>
        <v>-29</v>
      </c>
      <c r="AM66" s="13">
        <v>-8</v>
      </c>
      <c r="AN66" s="13">
        <v>-9</v>
      </c>
      <c r="AO66" s="13">
        <v>-11</v>
      </c>
      <c r="AP66" s="13">
        <v>-3</v>
      </c>
      <c r="AQ66" s="14">
        <f t="shared" si="78"/>
        <v>-31</v>
      </c>
      <c r="AS66" s="13">
        <v>-12</v>
      </c>
      <c r="AT66" s="13">
        <v>-5</v>
      </c>
      <c r="AU66" s="13">
        <v>-7</v>
      </c>
      <c r="AV66" s="13">
        <v>-8</v>
      </c>
      <c r="AW66" s="14">
        <f t="shared" si="79"/>
        <v>-32</v>
      </c>
      <c r="AY66" s="13">
        <v>-17</v>
      </c>
      <c r="AZ66" s="13">
        <v>-4</v>
      </c>
      <c r="BA66" s="13">
        <v>-9</v>
      </c>
      <c r="BB66" s="13">
        <v>-16</v>
      </c>
      <c r="BC66" s="14">
        <f t="shared" si="80"/>
        <v>-46</v>
      </c>
      <c r="BE66" s="13">
        <v>-12</v>
      </c>
      <c r="BF66" s="13">
        <v>-16</v>
      </c>
      <c r="BG66" s="13">
        <v>-13</v>
      </c>
      <c r="BH66" s="82">
        <v>-6</v>
      </c>
      <c r="BI66" s="14">
        <f t="shared" si="81"/>
        <v>-47</v>
      </c>
      <c r="BK66" s="13">
        <v>-9</v>
      </c>
      <c r="BL66" s="13">
        <v>-8</v>
      </c>
      <c r="BM66" s="13">
        <v>-5</v>
      </c>
      <c r="BN66" s="82">
        <v>-1</v>
      </c>
      <c r="BO66" s="14">
        <f t="shared" si="82"/>
        <v>-23</v>
      </c>
      <c r="BQ66" s="13">
        <v>-11</v>
      </c>
      <c r="BR66" s="13">
        <v>-4</v>
      </c>
      <c r="BS66" s="13">
        <v>-1</v>
      </c>
      <c r="BT66" s="82">
        <v>4</v>
      </c>
      <c r="BU66" s="14">
        <f t="shared" si="83"/>
        <v>-12</v>
      </c>
      <c r="BW66" s="13">
        <v>-5</v>
      </c>
      <c r="BX66" s="13">
        <v>-7</v>
      </c>
      <c r="BY66" s="13">
        <v>-6</v>
      </c>
      <c r="BZ66" s="82">
        <v>10</v>
      </c>
      <c r="CA66" s="14">
        <f t="shared" si="84"/>
        <v>-8</v>
      </c>
      <c r="CC66" s="13">
        <v>-9</v>
      </c>
      <c r="CD66" s="13">
        <v>-5</v>
      </c>
      <c r="CE66" s="13">
        <v>-3</v>
      </c>
      <c r="CF66" s="82">
        <v>-1</v>
      </c>
      <c r="CG66" s="14">
        <f t="shared" si="85"/>
        <v>-18</v>
      </c>
      <c r="CI66" s="13">
        <v>-6</v>
      </c>
      <c r="CJ66" s="13">
        <v>-10</v>
      </c>
      <c r="CK66" s="13">
        <v>-5</v>
      </c>
      <c r="CL66" s="82">
        <v>16</v>
      </c>
      <c r="CM66" s="14">
        <f t="shared" si="86"/>
        <v>-5</v>
      </c>
    </row>
    <row r="67" spans="1:246" hidden="1">
      <c r="A67" s="4" t="s">
        <v>47</v>
      </c>
      <c r="C67" s="13">
        <v>-9</v>
      </c>
      <c r="D67" s="13">
        <v>-9</v>
      </c>
      <c r="E67" s="13">
        <v>-11</v>
      </c>
      <c r="F67" s="13">
        <v>-13</v>
      </c>
      <c r="G67" s="14">
        <f t="shared" si="72"/>
        <v>-42</v>
      </c>
      <c r="H67" s="15"/>
      <c r="I67" s="13">
        <v>-16</v>
      </c>
      <c r="J67" s="13">
        <v>-22</v>
      </c>
      <c r="K67" s="13">
        <v>-15</v>
      </c>
      <c r="L67" s="13">
        <v>-28</v>
      </c>
      <c r="M67" s="14">
        <f t="shared" si="73"/>
        <v>-81</v>
      </c>
      <c r="O67" s="13">
        <v>-4</v>
      </c>
      <c r="P67" s="13">
        <v>-3</v>
      </c>
      <c r="Q67" s="13">
        <v>-6</v>
      </c>
      <c r="R67" s="13">
        <v>2</v>
      </c>
      <c r="S67" s="14">
        <f t="shared" si="74"/>
        <v>-11</v>
      </c>
      <c r="U67" s="13">
        <v>0</v>
      </c>
      <c r="V67" s="13">
        <v>0</v>
      </c>
      <c r="W67" s="13">
        <v>0</v>
      </c>
      <c r="X67" s="13">
        <v>0</v>
      </c>
      <c r="Y67" s="14">
        <f t="shared" si="75"/>
        <v>0</v>
      </c>
      <c r="AA67" s="13"/>
      <c r="AB67" s="13"/>
      <c r="AC67" s="13"/>
      <c r="AD67" s="13"/>
      <c r="AE67" s="14">
        <f t="shared" si="76"/>
        <v>0</v>
      </c>
      <c r="AG67" s="13"/>
      <c r="AH67" s="13"/>
      <c r="AI67" s="13"/>
      <c r="AJ67" s="13"/>
      <c r="AK67" s="14">
        <f t="shared" si="77"/>
        <v>0</v>
      </c>
      <c r="AM67" s="13"/>
      <c r="AN67" s="13"/>
      <c r="AO67" s="13"/>
      <c r="AP67" s="13"/>
      <c r="AQ67" s="14">
        <f t="shared" si="78"/>
        <v>0</v>
      </c>
      <c r="AS67" s="13"/>
      <c r="AT67" s="13"/>
      <c r="AU67" s="13"/>
      <c r="AV67" s="13"/>
      <c r="AW67" s="14">
        <f t="shared" si="79"/>
        <v>0</v>
      </c>
      <c r="AY67" s="13"/>
      <c r="AZ67" s="13"/>
      <c r="BA67" s="13"/>
      <c r="BB67" s="13"/>
      <c r="BC67" s="14">
        <f t="shared" si="80"/>
        <v>0</v>
      </c>
      <c r="BE67" s="13"/>
      <c r="BF67" s="13"/>
      <c r="BG67" s="13"/>
      <c r="BH67" s="82"/>
      <c r="BI67" s="14">
        <f t="shared" si="81"/>
        <v>0</v>
      </c>
      <c r="BK67" s="13"/>
      <c r="BL67" s="13"/>
      <c r="BM67" s="13"/>
      <c r="BN67" s="82"/>
      <c r="BO67" s="14">
        <f t="shared" si="82"/>
        <v>0</v>
      </c>
      <c r="BQ67" s="13"/>
      <c r="BR67" s="13"/>
      <c r="BS67" s="13"/>
      <c r="BT67" s="82"/>
      <c r="BU67" s="14">
        <f t="shared" si="83"/>
        <v>0</v>
      </c>
      <c r="BW67" s="13"/>
      <c r="BX67" s="13"/>
      <c r="BY67" s="13"/>
      <c r="BZ67" s="82"/>
      <c r="CA67" s="14">
        <f t="shared" si="84"/>
        <v>0</v>
      </c>
      <c r="CC67" s="13"/>
      <c r="CD67" s="13"/>
      <c r="CE67" s="13"/>
      <c r="CF67" s="82"/>
      <c r="CG67" s="14">
        <f t="shared" si="85"/>
        <v>0</v>
      </c>
      <c r="CI67" s="13"/>
      <c r="CJ67" s="13"/>
      <c r="CK67" s="13"/>
      <c r="CL67" s="82"/>
      <c r="CM67" s="14">
        <f t="shared" si="86"/>
        <v>0</v>
      </c>
    </row>
    <row r="68" spans="1:246">
      <c r="A68" s="4" t="s">
        <v>111</v>
      </c>
      <c r="C68" s="13">
        <f>-17+10</f>
        <v>-7</v>
      </c>
      <c r="D68" s="13">
        <v>-9</v>
      </c>
      <c r="E68" s="13">
        <f>-32+30</f>
        <v>-2</v>
      </c>
      <c r="F68" s="13">
        <v>-8</v>
      </c>
      <c r="G68" s="14">
        <f t="shared" si="72"/>
        <v>-26</v>
      </c>
      <c r="H68" s="15"/>
      <c r="I68" s="13">
        <v>-2</v>
      </c>
      <c r="J68" s="13">
        <v>-5</v>
      </c>
      <c r="K68" s="13">
        <v>-7</v>
      </c>
      <c r="L68" s="13">
        <f>-8</f>
        <v>-8</v>
      </c>
      <c r="M68" s="14">
        <f t="shared" si="73"/>
        <v>-22</v>
      </c>
      <c r="O68" s="13">
        <v>2</v>
      </c>
      <c r="P68" s="13">
        <v>-6</v>
      </c>
      <c r="Q68" s="13">
        <v>-4</v>
      </c>
      <c r="R68" s="13">
        <v>11</v>
      </c>
      <c r="S68" s="14">
        <f t="shared" si="74"/>
        <v>3</v>
      </c>
      <c r="U68" s="13">
        <v>-4</v>
      </c>
      <c r="V68" s="13">
        <v>-6</v>
      </c>
      <c r="W68" s="13">
        <v>-4</v>
      </c>
      <c r="X68" s="13">
        <v>-6</v>
      </c>
      <c r="Y68" s="14">
        <f t="shared" si="75"/>
        <v>-20</v>
      </c>
      <c r="AA68" s="13">
        <v>-4</v>
      </c>
      <c r="AB68" s="13">
        <v>-5</v>
      </c>
      <c r="AC68" s="13">
        <v>-4</v>
      </c>
      <c r="AD68" s="13">
        <v>-6</v>
      </c>
      <c r="AE68" s="14">
        <f t="shared" si="76"/>
        <v>-19</v>
      </c>
      <c r="AG68" s="13">
        <v>1</v>
      </c>
      <c r="AH68" s="13">
        <v>-3</v>
      </c>
      <c r="AI68" s="13">
        <v>-5</v>
      </c>
      <c r="AJ68" s="13">
        <v>-5</v>
      </c>
      <c r="AK68" s="14">
        <f t="shared" si="77"/>
        <v>-12</v>
      </c>
      <c r="AM68" s="13">
        <v>-4</v>
      </c>
      <c r="AN68" s="13">
        <v>-6</v>
      </c>
      <c r="AO68" s="13">
        <v>1</v>
      </c>
      <c r="AP68" s="13">
        <v>-4</v>
      </c>
      <c r="AQ68" s="14">
        <f t="shared" si="78"/>
        <v>-13</v>
      </c>
      <c r="AS68" s="13">
        <v>-4</v>
      </c>
      <c r="AT68" s="13">
        <v>-5</v>
      </c>
      <c r="AU68" s="13">
        <v>-4</v>
      </c>
      <c r="AV68" s="13">
        <v>-11</v>
      </c>
      <c r="AW68" s="14">
        <f t="shared" si="79"/>
        <v>-24</v>
      </c>
      <c r="AY68" s="13">
        <v>-7</v>
      </c>
      <c r="AZ68" s="13">
        <v>-14</v>
      </c>
      <c r="BA68" s="13">
        <v>-8</v>
      </c>
      <c r="BB68" s="13">
        <v>-18</v>
      </c>
      <c r="BC68" s="14">
        <f t="shared" si="80"/>
        <v>-47</v>
      </c>
      <c r="BE68" s="13">
        <v>-1</v>
      </c>
      <c r="BF68" s="13">
        <v>-9</v>
      </c>
      <c r="BG68" s="13">
        <v>-6</v>
      </c>
      <c r="BH68" s="82">
        <v>5</v>
      </c>
      <c r="BI68" s="14">
        <f t="shared" si="81"/>
        <v>-11</v>
      </c>
      <c r="BK68" s="13">
        <v>-7</v>
      </c>
      <c r="BL68" s="13">
        <v>-8</v>
      </c>
      <c r="BM68" s="13">
        <v>-11</v>
      </c>
      <c r="BN68" s="82">
        <v>-10</v>
      </c>
      <c r="BO68" s="14">
        <f t="shared" si="82"/>
        <v>-36</v>
      </c>
      <c r="BQ68" s="13">
        <v>-9</v>
      </c>
      <c r="BR68" s="13">
        <v>-10</v>
      </c>
      <c r="BS68" s="13">
        <v>-10</v>
      </c>
      <c r="BT68" s="82">
        <v>-8</v>
      </c>
      <c r="BU68" s="14">
        <f t="shared" si="83"/>
        <v>-37</v>
      </c>
      <c r="BW68" s="13">
        <v>-5</v>
      </c>
      <c r="BX68" s="13">
        <v>-12</v>
      </c>
      <c r="BY68" s="13">
        <v>-8</v>
      </c>
      <c r="BZ68" s="82">
        <v>-10</v>
      </c>
      <c r="CA68" s="14">
        <f t="shared" si="84"/>
        <v>-35</v>
      </c>
      <c r="CC68" s="13">
        <v>-10</v>
      </c>
      <c r="CD68" s="13">
        <v>-14</v>
      </c>
      <c r="CE68" s="13">
        <v>-20</v>
      </c>
      <c r="CF68" s="82">
        <v>-9</v>
      </c>
      <c r="CG68" s="14">
        <f t="shared" si="85"/>
        <v>-53</v>
      </c>
      <c r="CI68" s="13">
        <v>-8</v>
      </c>
      <c r="CJ68" s="13">
        <v>-8</v>
      </c>
      <c r="CK68" s="13">
        <v>-6</v>
      </c>
      <c r="CL68" s="82">
        <v>-12</v>
      </c>
      <c r="CM68" s="14">
        <f t="shared" si="86"/>
        <v>-34</v>
      </c>
    </row>
    <row r="69" spans="1:246" s="11" customFormat="1" ht="18.75" customHeight="1">
      <c r="B69" s="6"/>
      <c r="C69" s="16">
        <f>SUM(C61:C68)</f>
        <v>-56</v>
      </c>
      <c r="D69" s="16">
        <f>SUM(D61:D68)</f>
        <v>74</v>
      </c>
      <c r="E69" s="16">
        <f>SUM(E61:E68)</f>
        <v>-48</v>
      </c>
      <c r="F69" s="16">
        <f>SUM(F61:F68)</f>
        <v>-53</v>
      </c>
      <c r="G69" s="17">
        <f>SUM(G61:G68)</f>
        <v>-83</v>
      </c>
      <c r="H69" s="15"/>
      <c r="I69" s="16">
        <f>SUM(I61:I68)</f>
        <v>-34</v>
      </c>
      <c r="J69" s="16">
        <f>SUM(J61:J68)</f>
        <v>-16</v>
      </c>
      <c r="K69" s="16">
        <f>SUM(K61:K68)</f>
        <v>-4</v>
      </c>
      <c r="L69" s="16">
        <f>SUM(L61:L68)</f>
        <v>-869</v>
      </c>
      <c r="M69" s="17">
        <f>SUM(M61:M68)</f>
        <v>-923</v>
      </c>
      <c r="O69" s="16">
        <f>SUM(O61:O68)</f>
        <v>-1</v>
      </c>
      <c r="P69" s="16">
        <f>SUM(P61:P68)</f>
        <v>36</v>
      </c>
      <c r="Q69" s="16">
        <f>SUM(Q61:Q68)</f>
        <v>43</v>
      </c>
      <c r="R69" s="16">
        <f>SUM(R61:R68)</f>
        <v>14</v>
      </c>
      <c r="S69" s="17">
        <f>SUM(S61:S68)</f>
        <v>92</v>
      </c>
      <c r="U69" s="16">
        <f>SUM(U61:U68)</f>
        <v>4</v>
      </c>
      <c r="V69" s="16">
        <f>SUM(V61:V68)</f>
        <v>67</v>
      </c>
      <c r="W69" s="16">
        <f>SUM(W61:W68)</f>
        <v>125</v>
      </c>
      <c r="X69" s="16">
        <f>SUM(X61:X68)</f>
        <v>51</v>
      </c>
      <c r="Y69" s="17">
        <f>SUM(Y61:Y68)</f>
        <v>247</v>
      </c>
      <c r="AA69" s="16">
        <f>SUM(AA61:AA68)</f>
        <v>23</v>
      </c>
      <c r="AB69" s="16">
        <f>SUM(AB61:AB68)</f>
        <v>-91</v>
      </c>
      <c r="AC69" s="16">
        <f>SUM(AC61:AC68)</f>
        <v>146</v>
      </c>
      <c r="AD69" s="16">
        <f>SUM(AD61:AD68)</f>
        <v>104</v>
      </c>
      <c r="AE69" s="17">
        <f>SUM(AE61:AE68)</f>
        <v>182</v>
      </c>
      <c r="AG69" s="16">
        <f>SUM(AG61:AG68)</f>
        <v>74</v>
      </c>
      <c r="AH69" s="16">
        <f>SUM(AH61:AH68)</f>
        <v>125</v>
      </c>
      <c r="AI69" s="16">
        <f>SUM(AI61:AI68)</f>
        <v>139</v>
      </c>
      <c r="AJ69" s="16">
        <f>SUM(AJ61:AJ68)</f>
        <v>147</v>
      </c>
      <c r="AK69" s="17">
        <f>SUM(AK61:AK68)</f>
        <v>485</v>
      </c>
      <c r="AM69" s="16">
        <f>SUM(AM61:AM68)</f>
        <v>124</v>
      </c>
      <c r="AN69" s="16">
        <f>SUM(AN61:AN68)</f>
        <v>324</v>
      </c>
      <c r="AO69" s="16">
        <f>SUM(AO61:AO68)</f>
        <v>202</v>
      </c>
      <c r="AP69" s="16">
        <f>SUM(AP61:AP68)</f>
        <v>168</v>
      </c>
      <c r="AQ69" s="17">
        <f>SUM(AQ61:AQ68)</f>
        <v>818</v>
      </c>
      <c r="AS69" s="16">
        <f>SUM(AS61:AS68)</f>
        <v>191</v>
      </c>
      <c r="AT69" s="16">
        <f>SUM(AT61:AT68)</f>
        <v>331</v>
      </c>
      <c r="AU69" s="16">
        <f>SUM(AU61:AU68)</f>
        <v>248</v>
      </c>
      <c r="AV69" s="16">
        <f>SUM(AV61:AV68)</f>
        <v>363</v>
      </c>
      <c r="AW69" s="17">
        <f>SUM(AW61:AW68)</f>
        <v>1133</v>
      </c>
      <c r="AY69" s="16">
        <f>SUM(AY61:AY68)</f>
        <v>226</v>
      </c>
      <c r="AZ69" s="16">
        <f>SUM(AZ61:AZ68)</f>
        <v>377</v>
      </c>
      <c r="BA69" s="16">
        <f>SUM(BA61:BA68)</f>
        <v>241</v>
      </c>
      <c r="BB69" s="16">
        <f>SUM(BB61:BB68)</f>
        <v>-26</v>
      </c>
      <c r="BC69" s="17">
        <f>SUM(BC61:BC68)</f>
        <v>818</v>
      </c>
      <c r="BE69" s="16">
        <f>SUM(BE61:BE68)</f>
        <v>36</v>
      </c>
      <c r="BF69" s="16">
        <f>SUM(BF61:BF68)</f>
        <v>146</v>
      </c>
      <c r="BG69" s="16">
        <f>SUM(BG61:BG68)</f>
        <v>131</v>
      </c>
      <c r="BH69" s="16">
        <f>SUM(BH61:BH68)</f>
        <v>103</v>
      </c>
      <c r="BI69" s="17">
        <f>SUM(BI61:BI68)</f>
        <v>416</v>
      </c>
      <c r="BK69" s="16">
        <f>SUM(BK61:BK68)</f>
        <v>120</v>
      </c>
      <c r="BL69" s="16">
        <f>SUM(BL61:BL68)</f>
        <v>160</v>
      </c>
      <c r="BM69" s="16">
        <f>SUM(BM61:BM68)</f>
        <v>148</v>
      </c>
      <c r="BN69" s="16">
        <f>SUM(BN61:BN68)</f>
        <v>52</v>
      </c>
      <c r="BO69" s="17">
        <f>SUM(BO61:BO68)</f>
        <v>480</v>
      </c>
      <c r="BQ69" s="16">
        <f>SUM(BQ61:BQ68)</f>
        <v>97</v>
      </c>
      <c r="BR69" s="16">
        <f>SUM(BR61:BR68)</f>
        <v>96</v>
      </c>
      <c r="BS69" s="16">
        <f>SUM(BS61:BS68)</f>
        <v>185</v>
      </c>
      <c r="BT69" s="16">
        <f>SUM(BT61:BT68)</f>
        <v>67</v>
      </c>
      <c r="BU69" s="17">
        <f>SUM(BU61:BU68)</f>
        <v>445</v>
      </c>
      <c r="BW69" s="16">
        <f>SUM(BW61:BW68)</f>
        <v>103</v>
      </c>
      <c r="BX69" s="16">
        <f>SUM(BX61:BX68)</f>
        <v>99</v>
      </c>
      <c r="BY69" s="16">
        <f>SUM(BY61:BY68)</f>
        <v>102</v>
      </c>
      <c r="BZ69" s="16">
        <f>SUM(BZ61:BZ68)</f>
        <v>169</v>
      </c>
      <c r="CA69" s="17">
        <f>SUM(CA61:CA68)</f>
        <v>473</v>
      </c>
      <c r="CC69" s="16">
        <f>SUM(CC61:CC68)</f>
        <v>88</v>
      </c>
      <c r="CD69" s="16">
        <f>SUM(CD61:CD68)</f>
        <v>149</v>
      </c>
      <c r="CE69" s="16">
        <f>SUM(CE61:CE68)</f>
        <v>105</v>
      </c>
      <c r="CF69" s="16">
        <f>SUM(CF61:CF68)</f>
        <v>166</v>
      </c>
      <c r="CG69" s="17">
        <f>SUM(CG61:CG68)</f>
        <v>508</v>
      </c>
      <c r="CI69" s="16">
        <f>SUM(CI61:CI68)</f>
        <v>161</v>
      </c>
      <c r="CJ69" s="16">
        <f>SUM(CJ61:CJ68)</f>
        <v>86</v>
      </c>
      <c r="CK69" s="16">
        <f>SUM(CK61:CK68)</f>
        <v>97</v>
      </c>
      <c r="CL69" s="16">
        <f>SUM(CL61:CL68)</f>
        <v>161</v>
      </c>
      <c r="CM69" s="17">
        <f>SUM(CM61:CM68)</f>
        <v>505</v>
      </c>
      <c r="IL69" s="12"/>
    </row>
    <row r="70" spans="1:246">
      <c r="C70" s="13"/>
      <c r="D70" s="13"/>
      <c r="E70" s="13"/>
      <c r="F70" s="13"/>
      <c r="G70" s="18"/>
      <c r="H70" s="15"/>
      <c r="I70" s="13"/>
      <c r="J70" s="13"/>
      <c r="K70" s="13"/>
      <c r="L70" s="13"/>
      <c r="M70" s="18"/>
      <c r="O70" s="13"/>
      <c r="P70" s="13"/>
      <c r="Q70" s="13"/>
      <c r="R70" s="13"/>
      <c r="S70" s="18"/>
      <c r="U70" s="13"/>
      <c r="V70" s="13"/>
      <c r="W70" s="13"/>
      <c r="X70" s="13"/>
      <c r="Y70" s="18"/>
      <c r="AA70" s="13"/>
      <c r="AB70" s="13"/>
      <c r="AC70" s="13"/>
      <c r="AD70" s="13"/>
      <c r="AE70" s="18"/>
      <c r="AG70" s="13"/>
      <c r="AH70" s="13"/>
      <c r="AI70" s="13"/>
      <c r="AJ70" s="13"/>
      <c r="AK70" s="18"/>
      <c r="AM70" s="13"/>
      <c r="AN70" s="13"/>
      <c r="AO70" s="13"/>
      <c r="AP70" s="13"/>
      <c r="AQ70" s="18"/>
      <c r="AS70" s="13"/>
      <c r="AT70" s="13"/>
      <c r="AU70" s="13"/>
      <c r="AV70" s="13"/>
      <c r="AW70" s="18"/>
      <c r="AY70" s="13"/>
      <c r="AZ70" s="13"/>
      <c r="BA70" s="13"/>
      <c r="BB70" s="13"/>
      <c r="BC70" s="18"/>
      <c r="BE70" s="13"/>
      <c r="BF70" s="13"/>
      <c r="BG70" s="13"/>
      <c r="BH70" s="13"/>
      <c r="BI70" s="18"/>
      <c r="BK70" s="13"/>
      <c r="BL70" s="13"/>
      <c r="BM70" s="13"/>
      <c r="BN70" s="13"/>
      <c r="BO70" s="18"/>
      <c r="BQ70" s="13"/>
      <c r="BR70" s="13"/>
      <c r="BS70" s="13"/>
      <c r="BT70" s="13"/>
      <c r="BU70" s="18"/>
      <c r="BW70" s="13"/>
      <c r="BX70" s="13"/>
      <c r="BY70" s="13"/>
      <c r="BZ70" s="13"/>
      <c r="CA70" s="18"/>
      <c r="CC70" s="13"/>
      <c r="CD70" s="13"/>
      <c r="CE70" s="13"/>
      <c r="CF70" s="13"/>
      <c r="CG70" s="18"/>
      <c r="CI70" s="13"/>
      <c r="CJ70" s="13"/>
      <c r="CK70" s="13"/>
      <c r="CL70" s="13"/>
      <c r="CM70" s="18"/>
    </row>
    <row r="71" spans="1:246">
      <c r="A71" s="10" t="s">
        <v>44</v>
      </c>
      <c r="C71" s="13"/>
      <c r="D71" s="13"/>
      <c r="E71" s="13"/>
      <c r="F71" s="13"/>
      <c r="G71" s="15"/>
      <c r="H71" s="15"/>
      <c r="I71" s="13"/>
      <c r="J71" s="13"/>
      <c r="K71" s="13"/>
      <c r="L71" s="13"/>
      <c r="M71" s="15"/>
      <c r="O71" s="13"/>
      <c r="P71" s="13"/>
      <c r="Q71" s="13"/>
      <c r="R71" s="13"/>
      <c r="S71" s="15"/>
      <c r="U71" s="13"/>
      <c r="V71" s="13"/>
      <c r="W71" s="13"/>
      <c r="X71" s="13"/>
      <c r="Y71" s="15"/>
      <c r="AA71" s="13"/>
      <c r="AB71" s="13"/>
      <c r="AC71" s="13"/>
      <c r="AD71" s="13"/>
      <c r="AE71" s="15"/>
      <c r="AG71" s="13"/>
      <c r="AH71" s="13"/>
      <c r="AI71" s="13"/>
      <c r="AJ71" s="13"/>
      <c r="AK71" s="15"/>
      <c r="AM71" s="13"/>
      <c r="AN71" s="15"/>
      <c r="AO71" s="15"/>
      <c r="AP71" s="47"/>
      <c r="AQ71" s="54"/>
      <c r="AS71" s="13"/>
      <c r="AT71" s="15"/>
      <c r="AU71" s="15"/>
      <c r="AV71" s="47"/>
      <c r="AW71" s="54"/>
      <c r="AY71" s="13"/>
      <c r="AZ71" s="15"/>
      <c r="BA71" s="15"/>
      <c r="BB71" s="47"/>
      <c r="BC71" s="54"/>
      <c r="BE71" s="13"/>
      <c r="BF71" s="15"/>
      <c r="BG71" s="15"/>
      <c r="BH71" s="47"/>
      <c r="BI71" s="54"/>
      <c r="BK71" s="13"/>
      <c r="BL71" s="15"/>
      <c r="BM71" s="15"/>
      <c r="BN71" s="47"/>
      <c r="BO71" s="54"/>
      <c r="BQ71" s="13"/>
      <c r="BR71" s="15"/>
      <c r="BS71" s="15"/>
      <c r="BT71" s="47"/>
      <c r="BU71" s="54"/>
      <c r="BW71" s="13"/>
      <c r="BX71" s="15"/>
      <c r="BY71" s="15"/>
      <c r="BZ71" s="47"/>
      <c r="CA71" s="54"/>
      <c r="CC71" s="13"/>
      <c r="CD71" s="15"/>
      <c r="CE71" s="15"/>
      <c r="CF71" s="47"/>
      <c r="CG71" s="54"/>
      <c r="CI71" s="13"/>
      <c r="CJ71" s="15"/>
      <c r="CK71" s="15"/>
      <c r="CL71" s="47"/>
      <c r="CM71" s="54"/>
    </row>
    <row r="72" spans="1:246">
      <c r="A72" s="4" t="s">
        <v>148</v>
      </c>
      <c r="C72" s="13">
        <v>1656</v>
      </c>
      <c r="D72" s="13">
        <v>1697</v>
      </c>
      <c r="E72" s="13">
        <v>1604</v>
      </c>
      <c r="F72" s="13">
        <v>1430</v>
      </c>
      <c r="G72" s="15"/>
      <c r="H72" s="15"/>
      <c r="I72" s="13">
        <v>1413</v>
      </c>
      <c r="J72" s="13">
        <v>1432</v>
      </c>
      <c r="K72" s="13">
        <v>1326</v>
      </c>
      <c r="L72" s="13">
        <v>503</v>
      </c>
      <c r="M72" s="15"/>
      <c r="O72" s="13">
        <v>563</v>
      </c>
      <c r="P72" s="13">
        <v>656</v>
      </c>
      <c r="Q72" s="13">
        <v>648</v>
      </c>
      <c r="R72" s="13">
        <v>550</v>
      </c>
      <c r="S72" s="15"/>
      <c r="U72" s="13">
        <v>714</v>
      </c>
      <c r="V72" s="13">
        <v>840</v>
      </c>
      <c r="W72" s="13">
        <v>871</v>
      </c>
      <c r="X72" s="13">
        <v>679</v>
      </c>
      <c r="Y72" s="15"/>
      <c r="AA72" s="13">
        <v>714</v>
      </c>
      <c r="AB72" s="13">
        <v>763</v>
      </c>
      <c r="AC72" s="13">
        <v>794</v>
      </c>
      <c r="AD72" s="13">
        <v>604</v>
      </c>
      <c r="AE72" s="15"/>
      <c r="AG72" s="13">
        <v>719</v>
      </c>
      <c r="AH72" s="13">
        <v>761</v>
      </c>
      <c r="AI72" s="13">
        <v>886</v>
      </c>
      <c r="AJ72" s="13">
        <v>906</v>
      </c>
      <c r="AK72" s="15"/>
      <c r="AM72" s="13">
        <v>1176</v>
      </c>
      <c r="AN72" s="54">
        <v>1179</v>
      </c>
      <c r="AO72" s="54">
        <v>1290</v>
      </c>
      <c r="AP72" s="47">
        <v>1243</v>
      </c>
      <c r="AQ72" s="24"/>
      <c r="AS72" s="13">
        <v>2278</v>
      </c>
      <c r="AT72" s="54">
        <v>2480</v>
      </c>
      <c r="AU72" s="54">
        <v>2450</v>
      </c>
      <c r="AV72" s="47">
        <v>2220</v>
      </c>
      <c r="AW72" s="24"/>
      <c r="AY72" s="13">
        <v>2616</v>
      </c>
      <c r="AZ72" s="54">
        <v>2967</v>
      </c>
      <c r="BA72" s="54">
        <v>3100</v>
      </c>
      <c r="BB72" s="47">
        <v>2442</v>
      </c>
      <c r="BC72" s="24"/>
      <c r="BE72" s="13">
        <v>2438.1</v>
      </c>
      <c r="BF72" s="87">
        <v>2926</v>
      </c>
      <c r="BG72" s="54">
        <v>3163</v>
      </c>
      <c r="BH72" s="47">
        <v>3313</v>
      </c>
      <c r="BI72" s="24"/>
      <c r="BK72" s="13">
        <v>3842</v>
      </c>
      <c r="BL72" s="87">
        <v>4321</v>
      </c>
      <c r="BM72" s="54">
        <v>4716</v>
      </c>
      <c r="BN72" s="47">
        <v>4701</v>
      </c>
      <c r="BO72" s="24"/>
      <c r="BQ72" s="13">
        <v>5191</v>
      </c>
      <c r="BR72" s="87">
        <v>5223</v>
      </c>
      <c r="BS72" s="54">
        <v>4809</v>
      </c>
      <c r="BT72" s="47">
        <v>4470</v>
      </c>
      <c r="BU72" s="24"/>
      <c r="BW72" s="13">
        <v>4550</v>
      </c>
      <c r="BX72" s="87">
        <v>4685</v>
      </c>
      <c r="BY72" s="54">
        <v>4931</v>
      </c>
      <c r="BZ72" s="47">
        <v>4346</v>
      </c>
      <c r="CA72" s="24"/>
      <c r="CC72" s="13">
        <v>4795</v>
      </c>
      <c r="CD72" s="87">
        <v>4820</v>
      </c>
      <c r="CE72" s="54">
        <v>4901</v>
      </c>
      <c r="CF72" s="47">
        <v>4557</v>
      </c>
      <c r="CG72" s="24"/>
      <c r="CI72" s="57">
        <v>4215</v>
      </c>
      <c r="CJ72" s="87">
        <v>4223</v>
      </c>
      <c r="CK72" s="54">
        <v>4447</v>
      </c>
      <c r="CL72" s="47">
        <v>3661</v>
      </c>
      <c r="CM72" s="24"/>
    </row>
    <row r="73" spans="1:246">
      <c r="A73" s="4" t="s">
        <v>211</v>
      </c>
      <c r="C73" s="13">
        <v>1809</v>
      </c>
      <c r="D73" s="13">
        <v>1802</v>
      </c>
      <c r="E73" s="13">
        <v>1644</v>
      </c>
      <c r="F73" s="13">
        <v>1580</v>
      </c>
      <c r="G73" s="15"/>
      <c r="H73" s="15"/>
      <c r="I73" s="13">
        <v>1629</v>
      </c>
      <c r="J73" s="13">
        <v>1491</v>
      </c>
      <c r="K73" s="13">
        <v>1469</v>
      </c>
      <c r="L73" s="13">
        <v>1362</v>
      </c>
      <c r="M73" s="15"/>
      <c r="O73" s="13">
        <v>1355</v>
      </c>
      <c r="P73" s="13">
        <v>1341</v>
      </c>
      <c r="Q73" s="13">
        <v>1324</v>
      </c>
      <c r="R73" s="13">
        <v>1280</v>
      </c>
      <c r="S73" s="15"/>
      <c r="U73" s="13">
        <v>1370</v>
      </c>
      <c r="V73" s="13">
        <v>2260</v>
      </c>
      <c r="W73" s="13">
        <v>2175</v>
      </c>
      <c r="X73" s="13">
        <v>2106</v>
      </c>
      <c r="Y73" s="15"/>
      <c r="AA73" s="13">
        <v>1331</v>
      </c>
      <c r="AB73" s="13">
        <v>2090</v>
      </c>
      <c r="AC73" s="13">
        <v>2025</v>
      </c>
      <c r="AD73" s="13">
        <v>1974</v>
      </c>
      <c r="AE73" s="15"/>
      <c r="AG73" s="13">
        <v>2139</v>
      </c>
      <c r="AH73" s="13">
        <v>2285</v>
      </c>
      <c r="AI73" s="13">
        <v>2334</v>
      </c>
      <c r="AJ73" s="13">
        <v>2414</v>
      </c>
      <c r="AK73" s="15"/>
      <c r="AM73" s="13">
        <v>2568</v>
      </c>
      <c r="AN73" s="54">
        <v>2407</v>
      </c>
      <c r="AO73" s="54">
        <v>2314</v>
      </c>
      <c r="AP73" s="47">
        <v>2342</v>
      </c>
      <c r="AQ73" s="54"/>
      <c r="AS73" s="13">
        <v>2400</v>
      </c>
      <c r="AT73" s="54">
        <v>2457</v>
      </c>
      <c r="AU73" s="54">
        <v>2553</v>
      </c>
      <c r="AV73" s="47">
        <v>2511</v>
      </c>
      <c r="AW73" s="54"/>
      <c r="AY73" s="13">
        <v>2671</v>
      </c>
      <c r="AZ73" s="54">
        <v>2850</v>
      </c>
      <c r="BA73" s="54">
        <v>2906</v>
      </c>
      <c r="BB73" s="47">
        <v>2829</v>
      </c>
      <c r="BC73" s="54"/>
      <c r="BE73" s="13">
        <v>2842</v>
      </c>
      <c r="BF73" s="87">
        <v>2671</v>
      </c>
      <c r="BG73" s="54">
        <v>2528</v>
      </c>
      <c r="BH73" s="47">
        <v>2580</v>
      </c>
      <c r="BI73" s="54"/>
      <c r="BK73" s="13">
        <v>2805</v>
      </c>
      <c r="BL73" s="87">
        <v>2978</v>
      </c>
      <c r="BM73" s="54">
        <v>2859</v>
      </c>
      <c r="BN73" s="47">
        <v>2898</v>
      </c>
      <c r="BO73" s="54"/>
      <c r="BQ73" s="13">
        <v>2985</v>
      </c>
      <c r="BR73" s="87">
        <v>3008</v>
      </c>
      <c r="BS73" s="54">
        <v>3187</v>
      </c>
      <c r="BT73" s="47">
        <v>3232</v>
      </c>
      <c r="BU73" s="54"/>
      <c r="BW73" s="13">
        <v>3314</v>
      </c>
      <c r="BX73" s="87">
        <v>3345</v>
      </c>
      <c r="BY73" s="54">
        <v>3264</v>
      </c>
      <c r="BZ73" s="47">
        <v>3073</v>
      </c>
      <c r="CA73" s="54"/>
      <c r="CC73" s="13">
        <v>3374</v>
      </c>
      <c r="CD73" s="87">
        <v>3399</v>
      </c>
      <c r="CE73" s="54">
        <v>3222</v>
      </c>
      <c r="CF73" s="47">
        <v>3074</v>
      </c>
      <c r="CG73" s="54"/>
      <c r="CI73" s="57">
        <v>3251</v>
      </c>
      <c r="CJ73" s="87">
        <v>3325</v>
      </c>
      <c r="CK73" s="54">
        <v>3439</v>
      </c>
      <c r="CL73" s="47">
        <v>3283</v>
      </c>
      <c r="CM73" s="54"/>
    </row>
    <row r="74" spans="1:246" hidden="1">
      <c r="A74" s="105" t="s">
        <v>41</v>
      </c>
      <c r="C74" s="13">
        <v>300</v>
      </c>
      <c r="D74" s="13">
        <v>288</v>
      </c>
      <c r="E74" s="13">
        <v>286</v>
      </c>
      <c r="F74" s="13">
        <v>271</v>
      </c>
      <c r="G74" s="15"/>
      <c r="H74" s="15"/>
      <c r="I74" s="13">
        <v>215</v>
      </c>
      <c r="J74" s="13">
        <v>246</v>
      </c>
      <c r="K74" s="13">
        <v>215</v>
      </c>
      <c r="L74" s="13">
        <v>152</v>
      </c>
      <c r="M74" s="15"/>
      <c r="O74" s="13">
        <v>150</v>
      </c>
      <c r="P74" s="13">
        <v>156</v>
      </c>
      <c r="Q74" s="13">
        <v>150</v>
      </c>
      <c r="R74" s="13">
        <v>164</v>
      </c>
      <c r="S74" s="15"/>
      <c r="U74" s="13">
        <v>161</v>
      </c>
      <c r="V74" s="13">
        <v>155</v>
      </c>
      <c r="W74" s="13">
        <v>71</v>
      </c>
      <c r="X74" s="13">
        <v>9</v>
      </c>
      <c r="Y74" s="15"/>
      <c r="AA74" s="13">
        <v>161</v>
      </c>
      <c r="AB74" s="13">
        <v>155</v>
      </c>
      <c r="AC74" s="13">
        <v>71</v>
      </c>
      <c r="AD74" s="13">
        <v>9</v>
      </c>
      <c r="AE74" s="15"/>
      <c r="AG74" s="13">
        <v>-9</v>
      </c>
      <c r="AH74" s="13">
        <v>-14</v>
      </c>
      <c r="AI74" s="13">
        <v>-14</v>
      </c>
      <c r="AJ74" s="13">
        <v>-8</v>
      </c>
      <c r="AK74" s="15"/>
      <c r="AM74" s="13"/>
      <c r="AN74" s="13"/>
      <c r="AO74" s="47"/>
      <c r="AP74" s="47"/>
      <c r="AQ74" s="24"/>
      <c r="AS74" s="13"/>
      <c r="AT74" s="13"/>
      <c r="AU74" s="47"/>
      <c r="AV74" s="47"/>
      <c r="AW74" s="24"/>
      <c r="AY74" s="13"/>
      <c r="AZ74" s="13"/>
      <c r="BA74" s="47"/>
      <c r="BB74" s="47"/>
      <c r="BC74" s="24"/>
      <c r="BE74" s="13"/>
      <c r="BF74" s="82"/>
      <c r="BG74" s="47"/>
      <c r="BH74" s="47"/>
      <c r="BI74" s="24"/>
      <c r="BK74" s="13"/>
      <c r="BL74" s="82"/>
      <c r="BM74" s="47"/>
      <c r="BN74" s="47"/>
      <c r="BO74" s="24"/>
      <c r="BQ74" s="13"/>
      <c r="BR74" s="82"/>
      <c r="BS74" s="47"/>
      <c r="BT74" s="47"/>
      <c r="BU74" s="24"/>
      <c r="BW74" s="13"/>
      <c r="BX74" s="82"/>
      <c r="BY74" s="47"/>
      <c r="BZ74" s="47"/>
      <c r="CA74" s="24"/>
      <c r="CC74" s="13"/>
      <c r="CD74" s="82"/>
      <c r="CE74" s="47"/>
      <c r="CF74" s="47"/>
      <c r="CG74" s="24"/>
      <c r="CI74" s="57"/>
      <c r="CJ74" s="82"/>
      <c r="CK74" s="47"/>
      <c r="CL74" s="47"/>
      <c r="CM74" s="24"/>
    </row>
    <row r="75" spans="1:246">
      <c r="A75" s="4" t="s">
        <v>170</v>
      </c>
      <c r="C75" s="13">
        <v>459</v>
      </c>
      <c r="D75" s="13">
        <v>495</v>
      </c>
      <c r="E75" s="13">
        <v>522</v>
      </c>
      <c r="F75" s="13">
        <v>481</v>
      </c>
      <c r="G75" s="15"/>
      <c r="H75" s="15"/>
      <c r="I75" s="13">
        <v>496</v>
      </c>
      <c r="J75" s="13">
        <v>466</v>
      </c>
      <c r="K75" s="13">
        <v>461</v>
      </c>
      <c r="L75" s="13">
        <v>326</v>
      </c>
      <c r="M75" s="15"/>
      <c r="O75" s="13">
        <v>322</v>
      </c>
      <c r="P75" s="13">
        <v>320</v>
      </c>
      <c r="Q75" s="13">
        <v>315</v>
      </c>
      <c r="R75" s="13">
        <v>315</v>
      </c>
      <c r="S75" s="15"/>
      <c r="U75" s="13">
        <v>305</v>
      </c>
      <c r="V75" s="13">
        <v>324</v>
      </c>
      <c r="W75" s="13">
        <v>327</v>
      </c>
      <c r="X75" s="13">
        <v>319</v>
      </c>
      <c r="Y75" s="15"/>
      <c r="AA75" s="13">
        <v>89</v>
      </c>
      <c r="AB75" s="13">
        <v>86</v>
      </c>
      <c r="AC75" s="13">
        <v>78</v>
      </c>
      <c r="AD75" s="13">
        <v>66</v>
      </c>
      <c r="AE75" s="15"/>
      <c r="AG75" s="13">
        <v>60</v>
      </c>
      <c r="AH75" s="13">
        <v>60</v>
      </c>
      <c r="AI75" s="13">
        <v>61</v>
      </c>
      <c r="AJ75" s="13">
        <v>82</v>
      </c>
      <c r="AK75" s="15"/>
      <c r="AM75" s="13">
        <v>87</v>
      </c>
      <c r="AN75" s="13">
        <v>98</v>
      </c>
      <c r="AO75" s="13">
        <v>109</v>
      </c>
      <c r="AP75" s="13">
        <v>119</v>
      </c>
      <c r="AQ75" s="15"/>
      <c r="AS75" s="13">
        <v>96</v>
      </c>
      <c r="AT75" s="13">
        <v>123</v>
      </c>
      <c r="AU75" s="13">
        <v>138</v>
      </c>
      <c r="AV75" s="13">
        <v>169</v>
      </c>
      <c r="AW75" s="15"/>
      <c r="AY75" s="13">
        <v>179</v>
      </c>
      <c r="AZ75" s="13">
        <v>247</v>
      </c>
      <c r="BA75" s="13">
        <v>302</v>
      </c>
      <c r="BB75" s="13">
        <v>305</v>
      </c>
      <c r="BC75" s="15"/>
      <c r="BE75" s="57">
        <v>332</v>
      </c>
      <c r="BF75" s="57">
        <v>367</v>
      </c>
      <c r="BG75" s="57">
        <v>429</v>
      </c>
      <c r="BH75" s="13">
        <v>441</v>
      </c>
      <c r="BI75" s="15"/>
      <c r="BK75" s="57">
        <v>453</v>
      </c>
      <c r="BL75" s="57">
        <v>391</v>
      </c>
      <c r="BM75" s="57">
        <v>420</v>
      </c>
      <c r="BN75" s="13">
        <v>442</v>
      </c>
      <c r="BO75" s="15"/>
      <c r="BQ75" s="57">
        <v>466</v>
      </c>
      <c r="BR75" s="57">
        <v>481</v>
      </c>
      <c r="BS75" s="57">
        <v>562</v>
      </c>
      <c r="BT75" s="13">
        <v>577</v>
      </c>
      <c r="BU75" s="15"/>
      <c r="BW75" s="57">
        <v>577</v>
      </c>
      <c r="BX75" s="57">
        <v>0</v>
      </c>
      <c r="BY75" s="57">
        <v>0</v>
      </c>
      <c r="BZ75" s="13">
        <v>0</v>
      </c>
      <c r="CA75" s="15"/>
      <c r="CC75" s="57"/>
      <c r="CD75" s="57"/>
      <c r="CE75" s="57"/>
      <c r="CF75" s="13"/>
      <c r="CG75" s="15"/>
      <c r="CI75" s="57"/>
      <c r="CJ75" s="57"/>
      <c r="CK75" s="57"/>
      <c r="CL75" s="13"/>
      <c r="CM75" s="15"/>
    </row>
    <row r="76" spans="1:246">
      <c r="A76" s="4" t="s">
        <v>146</v>
      </c>
      <c r="C76" s="13">
        <v>117</v>
      </c>
      <c r="D76" s="13">
        <v>150</v>
      </c>
      <c r="E76" s="13">
        <v>204</v>
      </c>
      <c r="F76" s="13">
        <v>193</v>
      </c>
      <c r="G76" s="15"/>
      <c r="H76" s="15"/>
      <c r="I76" s="13">
        <v>185</v>
      </c>
      <c r="J76" s="13">
        <v>191</v>
      </c>
      <c r="K76" s="13">
        <v>185</v>
      </c>
      <c r="L76" s="13">
        <v>173</v>
      </c>
      <c r="M76" s="15"/>
      <c r="O76" s="13">
        <v>165</v>
      </c>
      <c r="P76" s="13">
        <v>159</v>
      </c>
      <c r="Q76" s="13">
        <v>149</v>
      </c>
      <c r="R76" s="13">
        <v>124</v>
      </c>
      <c r="S76" s="15"/>
      <c r="U76" s="13">
        <v>114</v>
      </c>
      <c r="V76" s="13">
        <v>119</v>
      </c>
      <c r="W76" s="13">
        <v>67</v>
      </c>
      <c r="X76" s="13">
        <v>83</v>
      </c>
      <c r="Y76" s="15"/>
      <c r="AA76" s="13">
        <v>114</v>
      </c>
      <c r="AB76" s="13">
        <v>119</v>
      </c>
      <c r="AC76" s="13">
        <v>67</v>
      </c>
      <c r="AD76" s="13">
        <v>83</v>
      </c>
      <c r="AE76" s="15"/>
      <c r="AG76" s="13">
        <v>74</v>
      </c>
      <c r="AH76" s="13">
        <v>74</v>
      </c>
      <c r="AI76" s="13">
        <v>75</v>
      </c>
      <c r="AJ76" s="13">
        <v>97</v>
      </c>
      <c r="AK76" s="15"/>
      <c r="AM76" s="13">
        <v>104</v>
      </c>
      <c r="AN76" s="13">
        <v>98</v>
      </c>
      <c r="AO76" s="13">
        <v>111</v>
      </c>
      <c r="AP76" s="13">
        <v>100</v>
      </c>
      <c r="AQ76" s="15"/>
      <c r="AS76" s="13">
        <v>100</v>
      </c>
      <c r="AT76" s="13">
        <v>101</v>
      </c>
      <c r="AU76" s="13">
        <v>108</v>
      </c>
      <c r="AV76" s="13">
        <v>96</v>
      </c>
      <c r="AW76" s="15"/>
      <c r="AY76" s="13">
        <v>127</v>
      </c>
      <c r="AZ76" s="13">
        <v>136</v>
      </c>
      <c r="BA76" s="13">
        <v>132</v>
      </c>
      <c r="BB76" s="13">
        <v>120</v>
      </c>
      <c r="BC76" s="15"/>
      <c r="BE76" s="57">
        <v>121.6</v>
      </c>
      <c r="BF76" s="82">
        <v>132</v>
      </c>
      <c r="BG76" s="57">
        <v>124</v>
      </c>
      <c r="BH76" s="13">
        <v>122</v>
      </c>
      <c r="BI76" s="15"/>
      <c r="BK76" s="57">
        <v>146</v>
      </c>
      <c r="BL76" s="82">
        <v>165</v>
      </c>
      <c r="BM76" s="57">
        <v>163</v>
      </c>
      <c r="BN76" s="13">
        <v>172</v>
      </c>
      <c r="BO76" s="15"/>
      <c r="BQ76" s="57">
        <v>171</v>
      </c>
      <c r="BR76" s="82">
        <v>185</v>
      </c>
      <c r="BS76" s="57">
        <v>184</v>
      </c>
      <c r="BT76" s="13">
        <v>183</v>
      </c>
      <c r="BU76" s="15"/>
      <c r="BW76" s="57">
        <v>185</v>
      </c>
      <c r="BX76" s="82">
        <v>189</v>
      </c>
      <c r="BY76" s="57">
        <v>192</v>
      </c>
      <c r="BZ76" s="13">
        <v>210</v>
      </c>
      <c r="CA76" s="15"/>
      <c r="CC76" s="57">
        <v>204</v>
      </c>
      <c r="CD76" s="82">
        <v>224</v>
      </c>
      <c r="CE76" s="57">
        <v>211</v>
      </c>
      <c r="CF76" s="13">
        <v>200</v>
      </c>
      <c r="CG76" s="15"/>
      <c r="CI76" s="57">
        <v>202</v>
      </c>
      <c r="CJ76" s="82">
        <v>203</v>
      </c>
      <c r="CK76" s="57">
        <v>208</v>
      </c>
      <c r="CL76" s="13">
        <v>201</v>
      </c>
      <c r="CM76" s="15"/>
    </row>
    <row r="77" spans="1:246" hidden="1">
      <c r="A77" s="4" t="s">
        <v>47</v>
      </c>
      <c r="C77" s="13">
        <v>15</v>
      </c>
      <c r="D77" s="13">
        <v>22</v>
      </c>
      <c r="E77" s="13">
        <v>13</v>
      </c>
      <c r="F77" s="13">
        <v>34</v>
      </c>
      <c r="G77" s="15"/>
      <c r="H77" s="15"/>
      <c r="I77" s="13">
        <v>34</v>
      </c>
      <c r="J77" s="13">
        <v>26</v>
      </c>
      <c r="K77" s="13">
        <v>27</v>
      </c>
      <c r="L77" s="13">
        <v>8</v>
      </c>
      <c r="M77" s="15"/>
      <c r="O77" s="13">
        <v>7</v>
      </c>
      <c r="P77" s="13">
        <v>11</v>
      </c>
      <c r="Q77" s="13">
        <v>9</v>
      </c>
      <c r="R77" s="13">
        <v>-6</v>
      </c>
      <c r="S77" s="15"/>
      <c r="U77" s="13">
        <v>23</v>
      </c>
      <c r="V77" s="13">
        <v>1</v>
      </c>
      <c r="W77" s="13">
        <v>1</v>
      </c>
      <c r="X77" s="13">
        <v>2</v>
      </c>
      <c r="Y77" s="15"/>
      <c r="AA77" s="13"/>
      <c r="AB77" s="13"/>
      <c r="AC77" s="13"/>
      <c r="AD77" s="13"/>
      <c r="AE77" s="15"/>
      <c r="AG77" s="13"/>
      <c r="AH77" s="13"/>
      <c r="AI77" s="13"/>
      <c r="AJ77" s="13"/>
      <c r="AK77" s="15"/>
      <c r="AM77" s="13"/>
      <c r="AN77" s="13"/>
      <c r="AO77" s="13"/>
      <c r="AP77" s="13"/>
      <c r="AQ77" s="15"/>
      <c r="AS77" s="13"/>
      <c r="AT77" s="13"/>
      <c r="AU77" s="13"/>
      <c r="AV77" s="13"/>
      <c r="AW77" s="15"/>
      <c r="AY77" s="13"/>
      <c r="AZ77" s="13"/>
      <c r="BA77" s="13"/>
      <c r="BB77" s="13"/>
      <c r="BC77" s="15"/>
      <c r="BE77" s="57"/>
      <c r="BF77" s="82"/>
      <c r="BG77" s="13"/>
      <c r="BH77" s="13"/>
      <c r="BI77" s="15"/>
      <c r="BK77" s="57"/>
      <c r="BL77" s="82"/>
      <c r="BM77" s="13"/>
      <c r="BN77" s="13"/>
      <c r="BO77" s="15"/>
      <c r="BQ77" s="57"/>
      <c r="BR77" s="82"/>
      <c r="BS77" s="13"/>
      <c r="BT77" s="13"/>
      <c r="BU77" s="15"/>
      <c r="BW77" s="57"/>
      <c r="BX77" s="82"/>
      <c r="BY77" s="13"/>
      <c r="BZ77" s="13"/>
      <c r="CA77" s="15"/>
      <c r="CC77" s="57"/>
      <c r="CD77" s="82"/>
      <c r="CE77" s="13"/>
      <c r="CF77" s="13"/>
      <c r="CG77" s="15"/>
      <c r="CI77" s="57"/>
      <c r="CJ77" s="82"/>
      <c r="CK77" s="13"/>
      <c r="CL77" s="13"/>
      <c r="CM77" s="15"/>
    </row>
    <row r="78" spans="1:246">
      <c r="A78" s="4" t="s">
        <v>43</v>
      </c>
      <c r="C78" s="13">
        <v>20</v>
      </c>
      <c r="D78" s="13">
        <v>-94</v>
      </c>
      <c r="E78" s="13">
        <v>-93</v>
      </c>
      <c r="F78" s="13">
        <v>-73</v>
      </c>
      <c r="G78" s="15"/>
      <c r="H78" s="15"/>
      <c r="I78" s="13">
        <v>-28</v>
      </c>
      <c r="J78" s="13">
        <v>-75</v>
      </c>
      <c r="K78" s="13">
        <v>-67</v>
      </c>
      <c r="L78" s="13">
        <v>102</v>
      </c>
      <c r="M78" s="15"/>
      <c r="O78" s="13">
        <v>126</v>
      </c>
      <c r="P78" s="13">
        <v>116</v>
      </c>
      <c r="Q78" s="13">
        <v>120</v>
      </c>
      <c r="R78" s="13">
        <v>122</v>
      </c>
      <c r="S78" s="15"/>
      <c r="U78" s="13">
        <v>81</v>
      </c>
      <c r="V78" s="13">
        <v>72</v>
      </c>
      <c r="W78" s="13">
        <v>77</v>
      </c>
      <c r="X78" s="13">
        <v>134</v>
      </c>
      <c r="Y78" s="15"/>
      <c r="AA78" s="13">
        <v>27</v>
      </c>
      <c r="AB78" s="13">
        <v>99</v>
      </c>
      <c r="AC78" s="13">
        <v>104</v>
      </c>
      <c r="AD78" s="13">
        <v>164</v>
      </c>
      <c r="AE78" s="15"/>
      <c r="AG78" s="13">
        <v>159</v>
      </c>
      <c r="AH78" s="13">
        <v>160</v>
      </c>
      <c r="AI78" s="13">
        <v>157</v>
      </c>
      <c r="AJ78" s="13">
        <v>8</v>
      </c>
      <c r="AK78" s="15"/>
      <c r="AM78" s="13">
        <v>16</v>
      </c>
      <c r="AN78" s="13">
        <v>36</v>
      </c>
      <c r="AO78" s="13">
        <v>21</v>
      </c>
      <c r="AP78" s="13">
        <v>25</v>
      </c>
      <c r="AQ78" s="15"/>
      <c r="AS78" s="13">
        <v>20</v>
      </c>
      <c r="AT78" s="13">
        <v>30</v>
      </c>
      <c r="AU78" s="13">
        <v>46</v>
      </c>
      <c r="AV78" s="13">
        <v>9</v>
      </c>
      <c r="AW78" s="15"/>
      <c r="AY78" s="13">
        <v>-2</v>
      </c>
      <c r="AZ78" s="13">
        <v>22</v>
      </c>
      <c r="BA78" s="13">
        <v>25</v>
      </c>
      <c r="BB78" s="13">
        <v>29</v>
      </c>
      <c r="BC78" s="15"/>
      <c r="BE78" s="57">
        <v>32</v>
      </c>
      <c r="BF78" s="82">
        <v>33</v>
      </c>
      <c r="BG78" s="13">
        <v>16</v>
      </c>
      <c r="BH78" s="13">
        <v>9</v>
      </c>
      <c r="BI78" s="15"/>
      <c r="BK78" s="57">
        <v>-20</v>
      </c>
      <c r="BL78" s="82">
        <v>-12</v>
      </c>
      <c r="BM78" s="13">
        <v>-15</v>
      </c>
      <c r="BN78" s="13">
        <v>5</v>
      </c>
      <c r="BO78" s="15"/>
      <c r="BQ78" s="57">
        <v>1</v>
      </c>
      <c r="BR78" s="82">
        <v>31</v>
      </c>
      <c r="BS78" s="13">
        <v>35</v>
      </c>
      <c r="BT78" s="13">
        <v>34</v>
      </c>
      <c r="BU78" s="15"/>
      <c r="BW78" s="57">
        <v>35</v>
      </c>
      <c r="BX78" s="82">
        <v>31</v>
      </c>
      <c r="BY78" s="13">
        <v>21</v>
      </c>
      <c r="BZ78" s="13">
        <v>17</v>
      </c>
      <c r="CA78" s="15"/>
      <c r="CC78" s="57">
        <v>-18</v>
      </c>
      <c r="CD78" s="82">
        <v>6</v>
      </c>
      <c r="CE78" s="13">
        <v>37</v>
      </c>
      <c r="CF78" s="13">
        <v>-46</v>
      </c>
      <c r="CG78" s="15"/>
      <c r="CI78" s="57">
        <v>-63</v>
      </c>
      <c r="CJ78" s="82">
        <v>-52</v>
      </c>
      <c r="CK78" s="13">
        <v>-56</v>
      </c>
      <c r="CL78" s="13">
        <v>-35</v>
      </c>
      <c r="CM78" s="15"/>
    </row>
    <row r="79" spans="1:246" s="11" customFormat="1" ht="18.75" customHeight="1">
      <c r="B79" s="6"/>
      <c r="C79" s="16">
        <f>SUM(C71:C78)</f>
        <v>4376</v>
      </c>
      <c r="D79" s="16">
        <f>SUM(D71:D78)</f>
        <v>4360</v>
      </c>
      <c r="E79" s="16">
        <f>SUM(E71:E78)</f>
        <v>4180</v>
      </c>
      <c r="F79" s="16">
        <f>SUM(F71:F78)</f>
        <v>3916</v>
      </c>
      <c r="G79" s="15"/>
      <c r="H79" s="15"/>
      <c r="I79" s="16">
        <f>SUM(I71:I78)</f>
        <v>3944</v>
      </c>
      <c r="J79" s="16">
        <f>SUM(J71:J78)</f>
        <v>3777</v>
      </c>
      <c r="K79" s="16">
        <f>SUM(K71:K78)</f>
        <v>3616</v>
      </c>
      <c r="L79" s="16">
        <f>SUM(L71:L78)</f>
        <v>2626</v>
      </c>
      <c r="M79" s="15"/>
      <c r="O79" s="16">
        <f>SUM(O71:O78)</f>
        <v>2688</v>
      </c>
      <c r="P79" s="16">
        <f>SUM(P71:P78)</f>
        <v>2759</v>
      </c>
      <c r="Q79" s="16">
        <f>SUM(Q71:Q78)</f>
        <v>2715</v>
      </c>
      <c r="R79" s="16">
        <f>SUM(R71:R78)</f>
        <v>2549</v>
      </c>
      <c r="S79" s="15"/>
      <c r="U79" s="16">
        <f>SUM(U71:U78)</f>
        <v>2768</v>
      </c>
      <c r="V79" s="16">
        <f>SUM(V71:V78)</f>
        <v>3771</v>
      </c>
      <c r="W79" s="16">
        <f>SUM(W71:W78)</f>
        <v>3589</v>
      </c>
      <c r="X79" s="16">
        <f>SUM(X71:X78)</f>
        <v>3332</v>
      </c>
      <c r="Y79" s="15"/>
      <c r="AA79" s="16">
        <f>SUM(AA71:AA78)</f>
        <v>2436</v>
      </c>
      <c r="AB79" s="16">
        <f>SUM(AB71:AB78)</f>
        <v>3312</v>
      </c>
      <c r="AC79" s="16">
        <f>SUM(AC71:AC78)</f>
        <v>3139</v>
      </c>
      <c r="AD79" s="16">
        <f>SUM(AD71:AD78)</f>
        <v>2900</v>
      </c>
      <c r="AE79" s="15"/>
      <c r="AG79" s="16">
        <f>SUM(AG71:AG78)</f>
        <v>3142</v>
      </c>
      <c r="AH79" s="16">
        <f>SUM(AH71:AH78)</f>
        <v>3326</v>
      </c>
      <c r="AI79" s="16">
        <f>SUM(AI71:AI78)</f>
        <v>3499</v>
      </c>
      <c r="AJ79" s="16">
        <f>SUM(AJ71:AJ78)</f>
        <v>3499</v>
      </c>
      <c r="AK79" s="15"/>
      <c r="AM79" s="16">
        <f>SUM(AM71:AM78)</f>
        <v>3951</v>
      </c>
      <c r="AN79" s="16">
        <f>SUM(AN71:AN78)</f>
        <v>3818</v>
      </c>
      <c r="AO79" s="16">
        <f>SUM(AO71:AO78)</f>
        <v>3845</v>
      </c>
      <c r="AP79" s="16">
        <f>SUM(AP71:AP78)</f>
        <v>3829</v>
      </c>
      <c r="AQ79" s="15"/>
      <c r="AS79" s="16">
        <f>SUM(AS71:AS78)</f>
        <v>4894</v>
      </c>
      <c r="AT79" s="16">
        <f>SUM(AT71:AT78)</f>
        <v>5191</v>
      </c>
      <c r="AU79" s="16">
        <f>SUM(AU71:AU78)</f>
        <v>5295</v>
      </c>
      <c r="AV79" s="16">
        <f>SUM(AV71:AV78)</f>
        <v>5005</v>
      </c>
      <c r="AW79" s="15"/>
      <c r="AY79" s="16">
        <f>SUM(AY71:AY78)</f>
        <v>5591</v>
      </c>
      <c r="AZ79" s="16">
        <f>SUM(AZ71:AZ78)</f>
        <v>6222</v>
      </c>
      <c r="BA79" s="16">
        <f>SUM(BA71:BA78)</f>
        <v>6465</v>
      </c>
      <c r="BB79" s="16">
        <f>SUM(BB71:BB78)</f>
        <v>5725</v>
      </c>
      <c r="BC79" s="15"/>
      <c r="BE79" s="16">
        <f>SUM(BE71:BE78)</f>
        <v>5765.7000000000007</v>
      </c>
      <c r="BF79" s="88">
        <f>SUM(BF71:BF78)</f>
        <v>6129</v>
      </c>
      <c r="BG79" s="16">
        <f>SUM(BG71:BG78)</f>
        <v>6260</v>
      </c>
      <c r="BH79" s="16">
        <f>SUM(BH71:BH78)</f>
        <v>6465</v>
      </c>
      <c r="BI79" s="15"/>
      <c r="BK79" s="16">
        <f>SUM(BK71:BK78)</f>
        <v>7226</v>
      </c>
      <c r="BL79" s="88">
        <f>SUM(BL71:BL78)</f>
        <v>7843</v>
      </c>
      <c r="BM79" s="16">
        <f>SUM(BM71:BM78)</f>
        <v>8143</v>
      </c>
      <c r="BN79" s="16">
        <f>SUM(BN71:BN78)</f>
        <v>8218</v>
      </c>
      <c r="BO79" s="15"/>
      <c r="BQ79" s="16">
        <f>SUM(BQ71:BQ78)</f>
        <v>8814</v>
      </c>
      <c r="BR79" s="88">
        <f>SUM(BR71:BR78)</f>
        <v>8928</v>
      </c>
      <c r="BS79" s="16">
        <f>SUM(BS71:BS78)</f>
        <v>8777</v>
      </c>
      <c r="BT79" s="16">
        <f>SUM(BT71:BT78)</f>
        <v>8496</v>
      </c>
      <c r="BU79" s="15"/>
      <c r="BW79" s="16">
        <f>SUM(BW71:BW78)</f>
        <v>8661</v>
      </c>
      <c r="BX79" s="88">
        <f>SUM(BX71:BX78)</f>
        <v>8250</v>
      </c>
      <c r="BY79" s="16">
        <f>SUM(BY71:BY78)</f>
        <v>8408</v>
      </c>
      <c r="BZ79" s="16">
        <f>SUM(BZ71:BZ78)</f>
        <v>7646</v>
      </c>
      <c r="CA79" s="15"/>
      <c r="CC79" s="16">
        <f>SUM(CC71:CC78)</f>
        <v>8355</v>
      </c>
      <c r="CD79" s="16">
        <f>SUM(CD71:CD78)</f>
        <v>8449</v>
      </c>
      <c r="CE79" s="16">
        <f>SUM(CE71:CE78)</f>
        <v>8371</v>
      </c>
      <c r="CF79" s="16">
        <f>SUM(CF71:CF78)</f>
        <v>7785</v>
      </c>
      <c r="CG79" s="15"/>
      <c r="CI79" s="60">
        <f>SUM(CI71:CI78)</f>
        <v>7605</v>
      </c>
      <c r="CJ79" s="60">
        <f>SUM(CJ71:CJ78)</f>
        <v>7699</v>
      </c>
      <c r="CK79" s="60">
        <f>SUM(CK71:CK78)</f>
        <v>8038</v>
      </c>
      <c r="CL79" s="60">
        <f>SUM(CL71:CL78)</f>
        <v>7110</v>
      </c>
      <c r="CM79" s="15"/>
      <c r="IL79" s="12"/>
    </row>
    <row r="80" spans="1:246" s="11" customFormat="1" ht="18.75" customHeight="1">
      <c r="A80" s="11" t="s">
        <v>105</v>
      </c>
      <c r="B80" s="6"/>
      <c r="C80" s="36"/>
      <c r="D80" s="36"/>
      <c r="E80" s="36"/>
      <c r="F80" s="36">
        <f>(C53+D53+E53+F53)/((C79+D79+E79+F79)/4)</f>
        <v>-2.3764258555133079E-3</v>
      </c>
      <c r="G80" s="38"/>
      <c r="H80" s="15"/>
      <c r="I80" s="36">
        <f>(D53+E53+F53+I53)/((D79+E79+F79+I79)/4)</f>
        <v>2.9268292682926829E-3</v>
      </c>
      <c r="J80" s="36">
        <f>(E53+F53+I53+J53)/((E79+F79+I79+J79)/4)</f>
        <v>-1.9725611683631537E-2</v>
      </c>
      <c r="K80" s="36">
        <f>(F53+I53+J53+K53)/((F79+I79+J79+K79)/4)</f>
        <v>-8.3917917786664915E-3</v>
      </c>
      <c r="L80" s="36">
        <f>(I53+J53+K53+L53)/((I79+J79+K79+L79)/4)</f>
        <v>-0.23060946787939554</v>
      </c>
      <c r="M80" s="38"/>
      <c r="O80" s="36">
        <f>(J53+K53+L53+O53)/((J79+K79+L79+O79)/4)</f>
        <v>-0.24396002203509876</v>
      </c>
      <c r="P80" s="36">
        <f>(K53+L53+O53+P53)/((K79+L79+O79+P79)/4)</f>
        <v>-0.24912310719479852</v>
      </c>
      <c r="Q80" s="36">
        <f>(L53+O53+P53+Q53)/((L79+O79+P79+Q79)/4)</f>
        <v>-0.25472747497219134</v>
      </c>
      <c r="R80" s="36">
        <f>(O53+P53+Q53+R53)/((O79+P79+Q79+R79)/4)</f>
        <v>5.5643730744094858E-2</v>
      </c>
      <c r="S80" s="38"/>
      <c r="U80" s="36">
        <f>(P53+Q53+R53+U53)/((P79+Q79+R79+U79)/4)</f>
        <v>5.7084607543323139E-2</v>
      </c>
      <c r="V80" s="36">
        <f>(Q53+R53+U53+V53)/((Q79+R79+U79+V79)/4)</f>
        <v>6.5068202999237476E-2</v>
      </c>
      <c r="W80" s="36">
        <f>(R53+U53+V53+W53)/((R79+U79+V79+W79)/4)</f>
        <v>8.9295574662775101E-2</v>
      </c>
      <c r="X80" s="36">
        <f>(U53+V53+W53+X53)/((U79+V79+W79+X79)/4)</f>
        <v>9.6285289747399708E-2</v>
      </c>
      <c r="Y80" s="38"/>
      <c r="AA80" s="36"/>
      <c r="AB80" s="36"/>
      <c r="AC80" s="36"/>
      <c r="AD80" s="36"/>
      <c r="AE80" s="38"/>
      <c r="AG80" s="36"/>
      <c r="AH80" s="36"/>
      <c r="AI80" s="36"/>
      <c r="AJ80" s="36">
        <f>(AK69+Valuation!AD22+Valuation!AD23)/(AVERAGE(AD79:AJ79))</f>
        <v>0.14695099596724917</v>
      </c>
      <c r="AK80" s="38"/>
      <c r="AM80" s="36">
        <f>(AH69+AI69+AJ69+AM69+Valuation!AG22+Valuation!AG23)/AVERAGE(AG79:AM79)</f>
        <v>0.1524372739277717</v>
      </c>
      <c r="AN80" s="36">
        <f>(AI69+AJ69+AM69+AN69+Valuation!AH22+Valuation!AH23)/AVERAGE(AH79:AN79)</f>
        <v>0.165809981760902</v>
      </c>
      <c r="AO80" s="36">
        <f>(AJ69+AM69+AN69+AO69+Valuation!AI22+Valuation!AI23)/AVERAGE(AI79:AO79)</f>
        <v>0.17703632065334193</v>
      </c>
      <c r="AP80" s="36">
        <f>(AQ69+Valuation!AJ22+Valuation!AJ23)/(AVERAGE(AJ79:AP79))</f>
        <v>0.18741421180445569</v>
      </c>
      <c r="AQ80" s="38"/>
      <c r="AS80" s="36">
        <f>(AN69+AO69+AP69+AS69+Valuation!AM22+Valuation!AM23)/AVERAGE(AM79:AS79)</f>
        <v>0.19103112553473964</v>
      </c>
      <c r="AT80" s="36">
        <f>(AO69+AP69+AS69+AT69+Valuation!AN22+Valuation!AN23)/AVERAGE(AN79:AT79)</f>
        <v>0.2067015803865227</v>
      </c>
      <c r="AU80" s="36">
        <f>(AP69+AS69+AT69+AU69+Valuation!AO22+Valuation!AO23)/AVERAGE(AO79:AU79)</f>
        <v>0.20343541250975969</v>
      </c>
      <c r="AV80" s="36">
        <f>(AW69+Valuation!AP22+Valuation!AP23)/(AVERAGE(AP79:AV79))</f>
        <v>0.2195011150574048</v>
      </c>
      <c r="AW80" s="38"/>
      <c r="AY80" s="36">
        <f>(AT69+AU69+AV69+AY69+Valuation!AS22+Valuation!AS23)/AVERAGE(AS79:AY79)</f>
        <v>0.21134893748075148</v>
      </c>
      <c r="AZ80" s="36">
        <f>(AU69+AV69+AY69+AZ69+Valuation!AT22+Valuation!AT23)/AVERAGE(AT79:AZ79)</f>
        <v>0.20949311456196892</v>
      </c>
      <c r="BA80" s="36">
        <f>(AV69+AY69+AZ69+BA69-70+31)/AVERAGE(AU79:BA79)</f>
        <v>0.20435299881027363</v>
      </c>
      <c r="BB80" s="36">
        <f>(BC69+135)/(AVERAGE(AV79:BB79))</f>
        <v>0.16426503033645889</v>
      </c>
      <c r="BC80" s="38"/>
      <c r="BE80" s="38">
        <f>(AZ69+BA69+BB69+BE69+155)/AVERAGE(AY79:BE79)</f>
        <v>0.13151397272974635</v>
      </c>
      <c r="BF80" s="36">
        <f>(BA69+BB69+BE69+BF69+155+57)/AVERAGE(AZ79:BF79)</f>
        <v>0.10047283273995519</v>
      </c>
      <c r="BG80" s="36">
        <f>(BB69+BE69+BF69+BG69+219)/AVERAGE(BA79:BG79)</f>
        <v>8.3375350555451186E-2</v>
      </c>
      <c r="BH80" s="36">
        <f>(BI69+152)/(AVERAGE(BB79:BH79))</f>
        <v>9.359130259979502E-2</v>
      </c>
      <c r="BI80" s="38"/>
      <c r="BK80" s="38">
        <f>(BF69+BG69+BH69+BK69+155)/AVERAGE(BE79:BK79)</f>
        <v>0.10283962984013539</v>
      </c>
      <c r="BL80" s="38">
        <f>(BG69+BH69+BK69+BL69+121)/AVERAGE(BF79:BL79)</f>
        <v>9.3594316540400319E-2</v>
      </c>
      <c r="BM80" s="38">
        <f>(BH69+BK69+BL69+BM69+110)/AVERAGE(BG79:BM79)</f>
        <v>8.9183849514428037E-2</v>
      </c>
      <c r="BN80" s="36">
        <f>(BO69+86)/(AVERAGE(BH79:BN79))</f>
        <v>7.4680036944187886E-2</v>
      </c>
      <c r="BO80" s="38"/>
      <c r="BQ80" s="38">
        <f>(BL69+BM69+BN69+BQ69+69)/AVERAGE(BK79:BQ79)</f>
        <v>6.5351356723983692E-2</v>
      </c>
      <c r="BR80" s="38">
        <f>(BM69+BN69+BQ69+BR69+54)/AVERAGE(BL79:BR79)</f>
        <v>5.3282792161350304E-2</v>
      </c>
      <c r="BS80" s="38">
        <f>(BN69+BQ69+BR69+BS69+31)/AVERAGE(BM79:BS79)</f>
        <v>5.3754664179104475E-2</v>
      </c>
      <c r="BT80" s="38">
        <f>(BU69+33)/(AVERAGE(BN79:BT79))</f>
        <v>5.528184488700761E-2</v>
      </c>
      <c r="BU80" s="38"/>
      <c r="BW80" s="38">
        <f>(BR69+BS69+BT69+BW69+29)/AVERAGE(BQ79:BW79)</f>
        <v>5.495008700430442E-2</v>
      </c>
      <c r="BX80" s="38">
        <f>(BS69+BT69+BW69+BX69+31)/AVERAGE(BR79:BX79)</f>
        <v>5.6248840230098351E-2</v>
      </c>
      <c r="BY80" s="38">
        <f>(BT69+BW69+BX69+BY69+39)/AVERAGE(BS79:BY79)</f>
        <v>4.8131104432757324E-2</v>
      </c>
      <c r="BZ80" s="38">
        <f>(BW69+BX69+BY69+BZ69+37)/AVERAGE(BT79:BZ79)</f>
        <v>6.1503581679168369E-2</v>
      </c>
      <c r="CA80" s="38"/>
      <c r="CC80" s="38">
        <f>(BX69+BY69+BZ69+CC69+36)/AVERAGE(BW79:CC79)</f>
        <v>5.9777347531461765E-2</v>
      </c>
      <c r="CD80" s="38">
        <f>(BY69+BZ69+CC69+CD69+27)/AVERAGE(BX79:CD79)</f>
        <v>6.5072491972365476E-2</v>
      </c>
      <c r="CE80" s="38">
        <f>(BZ69+CC69+CD69+CE69+27)/AVERAGE(BY79:CE79)</f>
        <v>6.5245337020058705E-2</v>
      </c>
      <c r="CF80" s="38">
        <f>(CC69+CD69+CE69+CF69+39)/AVERAGE(BZ79:CF79)</f>
        <v>6.73545781411614E-2</v>
      </c>
      <c r="CG80" s="38"/>
      <c r="CI80" s="38">
        <f>(CD69+CE69+CF69+CI69-2.5)/AVERAGE(CC79:CI79)</f>
        <v>7.1305312461481571E-2</v>
      </c>
      <c r="CJ80" s="38">
        <f>(CE69+CF69+CI69+CJ69+25.1+74)/AVERAGE(CD79:CJ79)</f>
        <v>7.7313387957603549E-2</v>
      </c>
      <c r="CK80" s="38">
        <f>(CF69+CI69+CJ69+CK69+222-96)/AVERAGE(CE79:CK79)</f>
        <v>8.0510405590156459E-2</v>
      </c>
      <c r="CL80" s="38">
        <f>(CI69+CJ69+CK69+CL69+307-96)/AVERAGE(CF79:CL79)</f>
        <v>9.3626592044354945E-2</v>
      </c>
      <c r="CM80" s="38"/>
      <c r="IL80" s="35"/>
    </row>
    <row r="81" spans="1:246" s="11" customFormat="1" ht="18.75" customHeight="1">
      <c r="A81" s="11" t="s">
        <v>109</v>
      </c>
      <c r="B81" s="6"/>
      <c r="C81" s="36"/>
      <c r="D81" s="36"/>
      <c r="E81" s="36"/>
      <c r="F81" s="36">
        <f>(C46+D46+E46+F46)/((C72+D72+E72+F72)/4)</f>
        <v>5.1354313449193674E-2</v>
      </c>
      <c r="G81" s="38"/>
      <c r="H81" s="15"/>
      <c r="I81" s="36">
        <f>(D46+E46+F46+I46)/((D72+E72+F72+I72)/4)</f>
        <v>4.296875E-2</v>
      </c>
      <c r="J81" s="36">
        <f>(E46+F46+I46+J46)/((E72+F72+I72+J72)/4)</f>
        <v>-1.9731246810682088E-2</v>
      </c>
      <c r="K81" s="36">
        <f>(F46+I46+J46+K46)/((F72+I72+J72+K72)/4)</f>
        <v>-2.4281378325299054E-2</v>
      </c>
      <c r="L81" s="36">
        <f>(I46+J46+K46+L46)/((I72+J72+K72+L72)/4)</f>
        <v>-0.59820282413350445</v>
      </c>
      <c r="M81" s="38"/>
      <c r="O81" s="36">
        <f>(J46+K46+L46+O46)/((J72+K72+L72+O72)/4)</f>
        <v>-0.68200836820083677</v>
      </c>
      <c r="P81" s="36">
        <f>(K46+L46+O46+P46)/((K72+L72+O72+P72)/4)</f>
        <v>-0.8241469816272966</v>
      </c>
      <c r="Q81" s="36">
        <f>(L46+O46+P46+Q46)/((L72+O72+P72+Q72)/4)</f>
        <v>-0.96540084388185654</v>
      </c>
      <c r="R81" s="36">
        <f>(O46+P46+Q46+R46)/((O72+P72+Q72+R72)/4)</f>
        <v>0.17211419114604881</v>
      </c>
      <c r="S81" s="38"/>
      <c r="U81" s="36">
        <f>(P46+Q46+R46+U46)/((P72+Q72+R72+U72)/4)</f>
        <v>0.16978193146417445</v>
      </c>
      <c r="V81" s="36">
        <f>(Q46+R46+U46+V46)/((Q72+R72+U72+V72)/4)</f>
        <v>0.1816860465116279</v>
      </c>
      <c r="W81" s="36">
        <f>(R46+U46+V46+W46)/((R72+U72+V72+W72)/4)</f>
        <v>0.17747899159663866</v>
      </c>
      <c r="X81" s="36">
        <f>(U46+V46+W46+X46)/((U72+V72+W72+X72)/4)</f>
        <v>0.15077319587628865</v>
      </c>
      <c r="Y81" s="38"/>
      <c r="AA81" s="36"/>
      <c r="AB81" s="36"/>
      <c r="AC81" s="36"/>
      <c r="AD81" s="36"/>
      <c r="AE81" s="38"/>
      <c r="AG81" s="36"/>
      <c r="AH81" s="36"/>
      <c r="AI81" s="36"/>
      <c r="AJ81" s="36">
        <f>AK62/(AVERAGE(AD72:AJ72))</f>
        <v>0.22574819401444787</v>
      </c>
      <c r="AK81" s="38"/>
      <c r="AM81" s="36">
        <f>(AH62+AI62+AJ62+AM62)/AVERAGE(AG73:AM73)</f>
        <v>9.3696763202725727E-2</v>
      </c>
      <c r="AN81" s="36">
        <f>(AI62+AJ62+AM62+AN62)/AVERAGE(AH72:AN72)</f>
        <v>0.26487367563162184</v>
      </c>
      <c r="AO81" s="36">
        <f>(AJ62+AM62+AN62+AO62)/AVERAGE(AI72:AO72)</f>
        <v>0.274967813132242</v>
      </c>
      <c r="AP81" s="36">
        <f>AQ62/(AVERAGE(AJ72:AP72))</f>
        <v>0.25975146703486368</v>
      </c>
      <c r="AQ81" s="38"/>
      <c r="AS81" s="36">
        <f>(AN62+AO62+AP62+AS62)/AVERAGE(AM72:AS72)</f>
        <v>0.22816075914038514</v>
      </c>
      <c r="AT81" s="36">
        <f>(AO62+AP62+AS62+AT62)/AVERAGE(AN72:AT72)</f>
        <v>0.23789846517119245</v>
      </c>
      <c r="AU81" s="36">
        <f>(AP62+AS62+AT62+AU62)/AVERAGE(AO72:AU72)</f>
        <v>0.22790267939636588</v>
      </c>
      <c r="AV81" s="36">
        <f>(AW62+Valuation!AP22+Valuation!AP21)/(AVERAGE(AP72:AV72))</f>
        <v>0.23615406241214509</v>
      </c>
      <c r="AW81" s="38"/>
      <c r="AY81" s="36">
        <f>(AT62+AU62+AV62+AY62+Valuation!AS22)/AVERAGE(AS72:AY72)</f>
        <v>0.21296911325141146</v>
      </c>
      <c r="AZ81" s="36">
        <f>(AU62+AV62+AY62+AZ62+Valuation!AT22)/AVERAGE(AT72:AZ72)</f>
        <v>0.19751825964030473</v>
      </c>
      <c r="BA81" s="36">
        <f>(AV62+AY62+AZ62+BA62-70)/AVERAGE(AU72:BA72)</f>
        <v>0.1789859956564068</v>
      </c>
      <c r="BB81" s="36">
        <f>(BC62+75)/(AVERAGE(AV72:BB72))</f>
        <v>0.13975271637317346</v>
      </c>
      <c r="BC81" s="38"/>
      <c r="BE81" s="38">
        <f>(AZ62+BA62+BB62+BE62+75)/AVERAGE(AY72:BE72)</f>
        <v>9.6216941554659333E-2</v>
      </c>
      <c r="BF81" s="36">
        <f>(BA62+BB62+BE62+BF62+75)/AVERAGE(AZ72:BF72)</f>
        <v>7.6406859317672327E-2</v>
      </c>
      <c r="BG81" s="36">
        <f>(BB62+BE62+BF62+BG62+50+25)/AVERAGE(BA72:BG72)</f>
        <v>5.7928367841581903E-2</v>
      </c>
      <c r="BH81" s="36">
        <f>(BI62+0)/(AVERAGE(BB72:BH72))</f>
        <v>6.896744876453742E-2</v>
      </c>
      <c r="BI81" s="38"/>
      <c r="BK81" s="38">
        <f>(BF62+BG62+BH62+BK62)/AVERAGE(BE72:BK72)</f>
        <v>7.5245024582166933E-2</v>
      </c>
      <c r="BL81" s="38">
        <f>(BG62+BH62+BK62+BL62)/AVERAGE(BF72:BL72)</f>
        <v>4.6114432109308282E-2</v>
      </c>
      <c r="BM81" s="38">
        <f>(BH62+BK62+BL62+BM62)/AVERAGE(BG72:BM72)</f>
        <v>4.5982950142082146E-2</v>
      </c>
      <c r="BN81" s="36">
        <f>(BO62+0)/(AVERAGE(BH72:BN72))</f>
        <v>2.6085291724501025E-2</v>
      </c>
      <c r="BO81" s="38"/>
      <c r="BQ81" s="38">
        <f>(BL62+BM62+BN62+BQ62)/AVERAGE(BK72:BQ72)</f>
        <v>1.3174651969610471E-2</v>
      </c>
      <c r="BR81" s="38">
        <f>(BM62+BN62+BQ62+BR62)/AVERAGE(BL72:BR72)</f>
        <v>-5.3825770122557142E-3</v>
      </c>
      <c r="BS81" s="38">
        <f>(BN62+BQ62+BR62+BS62)/AVERAGE(BM72:BS72)</f>
        <v>-2.2524350649350648E-2</v>
      </c>
      <c r="BT81" s="36">
        <f>(BU62+0)/(AVERAGE(BN72:BT72))</f>
        <v>-3.1565138968598833E-2</v>
      </c>
      <c r="BU81" s="38"/>
      <c r="BW81" s="38">
        <f>(BR62+BS62+BT62+BW62)/AVERAGE(BQ72:BW72)</f>
        <v>-3.0318029946788762E-2</v>
      </c>
      <c r="BX81" s="38">
        <f>(BS62+BT62+BW62+BX62)/AVERAGE(BR72:BX72)</f>
        <v>-2.4434427265450566E-2</v>
      </c>
      <c r="BY81" s="38">
        <f>(BT62+BW62+BX62+BY62)/AVERAGE(BS72:BY72)</f>
        <v>-1.8980592876946045E-2</v>
      </c>
      <c r="BZ81" s="38">
        <f>(BW62+BX62+BY62+BZ62)/AVERAGE(BT72:BZ72)</f>
        <v>-4.351231398485772E-4</v>
      </c>
      <c r="CA81" s="38"/>
      <c r="CC81" s="38">
        <f>(BX62+BY62+BZ62+CC62)/AVERAGE(BW72:CC72)</f>
        <v>-4.2905564851761278E-4</v>
      </c>
      <c r="CD81" s="38">
        <f>(BY62+BZ62+CC62+CD62)/AVERAGE(BX72:CD72)</f>
        <v>4.241421724562074E-3</v>
      </c>
      <c r="CE81" s="38">
        <f>(BZ62+CC62+CD62+CE62)/AVERAGE(BY72:CE72)</f>
        <v>3.3623334594208376E-3</v>
      </c>
      <c r="CF81" s="38">
        <f>(CC62+CD62+CE62+CF62+21)/AVERAGE(BZ72:CF72)</f>
        <v>7.6860668687817584E-3</v>
      </c>
      <c r="CG81" s="38"/>
      <c r="CI81" s="38">
        <f>(CD62+CE62+CF62+CI62+75.5)/AVERAGE(CC72:CI72)</f>
        <v>8.4807626245276529E-3</v>
      </c>
      <c r="CJ81" s="38">
        <f>(CE62+CF62+CI62+CJ62+178.1)/AVERAGE(CD72:CJ72)</f>
        <v>1.8511181546046838E-2</v>
      </c>
      <c r="CK81" s="38">
        <f>(CF62+CI62+CJ62+CK62+222)/AVERAGE(CE72:CK72)</f>
        <v>2.7525399453967682E-2</v>
      </c>
      <c r="CL81" s="38">
        <f>(CI62+CJ62+CK62+CL62+307)/AVERAGE(CF72:CL72)</f>
        <v>4.2174098469411926E-2</v>
      </c>
      <c r="CM81" s="38"/>
      <c r="IL81" s="35"/>
    </row>
    <row r="82" spans="1:246" s="11" customFormat="1" ht="18.75" customHeight="1">
      <c r="A82" s="11" t="s">
        <v>212</v>
      </c>
      <c r="B82" s="6"/>
      <c r="C82" s="36"/>
      <c r="D82" s="36"/>
      <c r="E82" s="36"/>
      <c r="F82" s="36">
        <f>(C47+D47+E47+F47)/((C73+D73+E73+F73)/4)</f>
        <v>3.9209948792977324E-2</v>
      </c>
      <c r="G82" s="38"/>
      <c r="H82" s="15"/>
      <c r="I82" s="36">
        <f>(D47+E47+F47+I47)/((D73+E73+F73+I73)/4)</f>
        <v>3.6063110443275731E-2</v>
      </c>
      <c r="J82" s="36">
        <f>(E47+F47+I47+J47)/((E73+F73+I73+J73)/4)</f>
        <v>5.8007566204287514E-2</v>
      </c>
      <c r="K82" s="36">
        <f>(F47+I47+J47+K47)/((F73+I73+J73+K73)/4)</f>
        <v>8.1698816663964988E-2</v>
      </c>
      <c r="L82" s="36">
        <f>(I47+J47+K47+L47)/((I73+J73+K73+L73)/4)</f>
        <v>0.10283985884725257</v>
      </c>
      <c r="M82" s="38"/>
      <c r="O82" s="36">
        <f>(J47+K47+L47+O47)/((J73+K73+L73+O73)/4)</f>
        <v>0.13175973225295051</v>
      </c>
      <c r="P82" s="36">
        <f>(K47+L47+O47+P47)/((K73+L73+O73+P73)/4)</f>
        <v>0.14474398407816175</v>
      </c>
      <c r="Q82" s="36">
        <f>(L47+O47+P47+Q47)/((L73+O73+P73+Q73)/4)</f>
        <v>0.15235971757710889</v>
      </c>
      <c r="R82" s="36">
        <f>(O47+P47+Q47+R47)/((O73+P73+Q73+R73)/4)</f>
        <v>0.16452830188679246</v>
      </c>
      <c r="S82" s="38"/>
      <c r="U82" s="36">
        <f>(P47+Q47+R47+U47)/((P73+Q73+R73+U73)/4)</f>
        <v>0.16857949200376293</v>
      </c>
      <c r="V82" s="36">
        <f>(Q47+R47+U47+V47)/((Q73+R73+U73+V73)/4)</f>
        <v>0.15399422521655437</v>
      </c>
      <c r="W82" s="36">
        <f>(R47+U47+V47+W47)/((R73+U73+V73+W73)/4)</f>
        <v>0.14622441778405082</v>
      </c>
      <c r="X82" s="36">
        <f>(U47+V47+W47+X47)/((U73+V73+W73+X73)/4)</f>
        <v>0.13550752117305018</v>
      </c>
      <c r="Y82" s="38"/>
      <c r="AA82" s="36"/>
      <c r="AB82" s="36"/>
      <c r="AC82" s="36"/>
      <c r="AD82" s="36"/>
      <c r="AE82" s="38"/>
      <c r="AG82" s="36"/>
      <c r="AH82" s="36"/>
      <c r="AI82" s="36"/>
      <c r="AJ82" s="36">
        <f>(AK63+Valuation!AD23+Valuation!AD22)/(AVERAGE(AD73:AJ73))</f>
        <v>0.14803516956755788</v>
      </c>
      <c r="AK82" s="38"/>
      <c r="AM82" s="36">
        <f>(AH63+AI63+AJ63+AM63+Valuation!AG22+Valuation!AG23)/AVERAGE(AG73:AM73)</f>
        <v>0.14395229982964225</v>
      </c>
      <c r="AN82" s="36">
        <f>(AI63+AJ63+AM63+AN63+Valuation!AH22+Valuation!AH23)/AVERAGE(AH73:AN73)</f>
        <v>0.14823451032644905</v>
      </c>
      <c r="AO82" s="36">
        <f>(AJ63+AM63+AN63+AO63+Valuation!AI22+Valuation!AI23)/AVERAGE(AI73:AO73)</f>
        <v>0.15078507933870566</v>
      </c>
      <c r="AP82" s="36">
        <f>(AQ63+Valuation!AJ23+Valuation!AJ22)/(AVERAGE(AJ73:AP73))</f>
        <v>0.16604400166044</v>
      </c>
      <c r="AQ82" s="38"/>
      <c r="AS82" s="36">
        <f>(AN63+AO63+AP63+AS63+Valuation!AM22+Valuation!AM23)/AVERAGE(AM73:AS73)</f>
        <v>0.18078297730861942</v>
      </c>
      <c r="AT82" s="36">
        <f>(AO63+AP63+AS63+AT63+Valuation!AN22+Valuation!AN23)/AVERAGE(AN73:AT73)</f>
        <v>0.18875838926174496</v>
      </c>
      <c r="AU82" s="36">
        <f>(AP63+AS63+AT63+AU63+Valuation!AO22+Valuation!AO23)/AVERAGE(AO73:AU73)</f>
        <v>0.18647439085032325</v>
      </c>
      <c r="AV82" s="36">
        <f>AW63/(AVERAGE(AP73:AV73))</f>
        <v>0.20141890238930116</v>
      </c>
      <c r="AW82" s="38"/>
      <c r="AY82" s="36">
        <f>(AT63+AU63+AV63+AY63)/AVERAGE(AS73:AY73)</f>
        <v>0.19734752223634053</v>
      </c>
      <c r="AZ82" s="36">
        <f>(AU63+AV63+AY63+AZ63)/AVERAGE(AT73:AZ73)</f>
        <v>0.19360527526452997</v>
      </c>
      <c r="BA82" s="36">
        <f>(AV63+AY63+AZ63+BA63+31)/AVERAGE(AU73:BA73)</f>
        <v>0.18716181157808912</v>
      </c>
      <c r="BB82" s="36">
        <f>(BC63+50)/(AVERAGE(AV73:BB73))</f>
        <v>0.1601656134234038</v>
      </c>
      <c r="BC82" s="38"/>
      <c r="BE82" s="38">
        <f>(AZ63+BA63+BB63+BE63+50+20)/AVERAGE(AY73:BE73)</f>
        <v>0.13548020995885943</v>
      </c>
      <c r="BF82" s="36">
        <f>(BA63+BB63+BE63+BF63+50+20+57)/AVERAGE(AZ73:BF73)</f>
        <v>0.11065399347425167</v>
      </c>
      <c r="BG82" s="36">
        <f>(BB63+BE63+BF63+BG63+19+20+57+38)/AVERAGE(BA73:BG73)</f>
        <v>0.10779616724738676</v>
      </c>
      <c r="BH82" s="36">
        <f>(BI63+152)/(AVERAGE(BB73:BH73))</f>
        <v>0.10892193308550185</v>
      </c>
      <c r="BI82" s="38"/>
      <c r="BK82" s="38">
        <f>(BF63+BG63+BH63+BK63+153)/AVERAGE(BE73:BK73)</f>
        <v>0.13518546104573217</v>
      </c>
      <c r="BL82" s="38">
        <f>(BG63+BH63+BK63+BL63+121)/AVERAGE(BF73:BL73)</f>
        <v>0.15853119008995722</v>
      </c>
      <c r="BM82" s="38">
        <f>(BH63+BK63+BL63+BM63+110)/AVERAGE(BG73:BM73)</f>
        <v>0.15927272727272726</v>
      </c>
      <c r="BN82" s="36">
        <f>(BO63+86)/(AVERAGE(BH73:BN73))</f>
        <v>0.15084985835694051</v>
      </c>
      <c r="BO82" s="38"/>
      <c r="BQ82" s="38">
        <f>(BL63+BM63+BN63+BQ63+69)/AVERAGE(BK73:BQ73)</f>
        <v>0.14698795180722893</v>
      </c>
      <c r="BR82" s="38">
        <f>(BM63+BN63+BQ63+BR63+54)/AVERAGE(BL73:BR73)</f>
        <v>0.14733840304182511</v>
      </c>
      <c r="BS82" s="38">
        <f>(BN63+BQ63+BR63+BS63+31)/AVERAGE(BM73:BS73)</f>
        <v>0.15264109258887326</v>
      </c>
      <c r="BT82" s="36">
        <f>(BU63+33)/(AVERAGE(BN73:BT73))</f>
        <v>0.17080339647289353</v>
      </c>
      <c r="BU82" s="38"/>
      <c r="BW82" s="38">
        <f>(BR63+BS63+BT63+BW63+29)/AVERAGE(BQ73:BW73)</f>
        <v>0.17041841536309299</v>
      </c>
      <c r="BX82" s="38">
        <f>(BS63+BT63+BW63+BX63+31)/AVERAGE(BR73:BX73)</f>
        <v>0.16660450080815617</v>
      </c>
      <c r="BY82" s="38">
        <f>(BT63+BW63+BX63+BY63+39)/AVERAGE(BS73:BY73)</f>
        <v>0.16124097417696731</v>
      </c>
      <c r="BZ82" s="38">
        <f>(BW63+BX63+BY63+BZ63+37)/AVERAGE(BT73:BZ73)</f>
        <v>0.17100073946265715</v>
      </c>
      <c r="CA82" s="38"/>
      <c r="CC82" s="38">
        <f>(BX63+BY63+BZ63+CC63+36)/AVERAGE(BW73:CC73)</f>
        <v>0.16737935247403787</v>
      </c>
      <c r="CD82" s="38">
        <f>(BY63+BZ63+CC63+CD63+27)/AVERAGE(BX73:CD73)</f>
        <v>0.17228805834092981</v>
      </c>
      <c r="CE82" s="38">
        <f>(BZ63+CC63+CD63+CE63+12)/AVERAGE(BY73:CE73)</f>
        <v>0.17389174626500123</v>
      </c>
      <c r="CF82" s="38">
        <f>(CC63+CD63+CE63+CF63)/AVERAGE(BZ73:CF73)</f>
        <v>0.17469954156857886</v>
      </c>
      <c r="CG82" s="38"/>
      <c r="CI82" s="38">
        <f>(CD63+CE63+CF63+CI63-96.9)/AVERAGE(CC73:CI73)</f>
        <v>0.17956495098039216</v>
      </c>
      <c r="CJ82" s="38">
        <f>(CE63+CF63+CI63+CJ63-96.9)/AVERAGE(CD73:CJ73)</f>
        <v>0.17826193841804439</v>
      </c>
      <c r="CK82" s="38">
        <f>(CF63+CI63+CJ63+CK63-96)/AVERAGE(CE73:CK73)</f>
        <v>0.17350254429526088</v>
      </c>
      <c r="CL82" s="38">
        <f>(CI63+CJ63+CK63+CL63-96)/AVERAGE(CF73:CL73)</f>
        <v>0.17621548986073785</v>
      </c>
      <c r="CM82" s="38"/>
      <c r="IL82" s="35"/>
    </row>
    <row r="83" spans="1:246" s="11" customFormat="1" ht="6.95" customHeight="1">
      <c r="B83" s="6"/>
      <c r="C83" s="36"/>
      <c r="D83" s="36"/>
      <c r="E83" s="36"/>
      <c r="F83" s="36"/>
      <c r="G83" s="38"/>
      <c r="H83" s="15"/>
      <c r="I83" s="36"/>
      <c r="J83" s="36"/>
      <c r="K83" s="36"/>
      <c r="L83" s="36"/>
      <c r="M83" s="38"/>
      <c r="O83" s="36"/>
      <c r="P83" s="36"/>
      <c r="Q83" s="36"/>
      <c r="R83" s="36"/>
      <c r="S83" s="38"/>
      <c r="U83" s="36"/>
      <c r="V83" s="36"/>
      <c r="W83" s="36"/>
      <c r="X83" s="36"/>
      <c r="Y83" s="38"/>
      <c r="AA83" s="36"/>
      <c r="AB83" s="36"/>
      <c r="AC83" s="36"/>
      <c r="AD83" s="36"/>
      <c r="AE83" s="38"/>
      <c r="AG83" s="36"/>
      <c r="AH83" s="36"/>
      <c r="AI83" s="36"/>
      <c r="AJ83" s="36"/>
      <c r="AK83" s="38"/>
      <c r="AM83" s="36"/>
      <c r="AN83" s="36"/>
      <c r="AO83" s="36"/>
      <c r="AP83" s="36"/>
      <c r="AQ83" s="38"/>
      <c r="AS83" s="36"/>
      <c r="AT83" s="36"/>
      <c r="AU83" s="36"/>
      <c r="AV83" s="36"/>
      <c r="AW83" s="38"/>
      <c r="AY83" s="36"/>
      <c r="AZ83" s="36"/>
      <c r="BA83" s="36"/>
      <c r="BB83" s="36"/>
      <c r="BC83" s="38"/>
      <c r="BE83" s="38"/>
      <c r="BF83" s="36"/>
      <c r="BG83" s="36"/>
      <c r="BH83" s="36"/>
      <c r="BI83" s="38"/>
      <c r="BK83" s="13"/>
      <c r="BL83" s="96"/>
      <c r="BM83" s="36"/>
      <c r="BN83" s="36"/>
      <c r="BO83" s="38"/>
      <c r="IL83" s="35"/>
    </row>
    <row r="84" spans="1:246" ht="18" customHeight="1">
      <c r="A84" s="62" t="s">
        <v>75</v>
      </c>
      <c r="BK84" s="13"/>
      <c r="BL84" s="13"/>
      <c r="BX84" s="13"/>
      <c r="CD84" s="13"/>
      <c r="CE84" s="13"/>
      <c r="CI84" s="13"/>
      <c r="CJ84" s="13"/>
      <c r="CK84" s="13"/>
      <c r="CM84" s="106"/>
    </row>
    <row r="85" spans="1:246" ht="6" customHeight="1"/>
    <row r="86" spans="1:246" ht="27.6" customHeight="1">
      <c r="A86" s="110" t="s">
        <v>205</v>
      </c>
    </row>
  </sheetData>
  <mergeCells count="30">
    <mergeCell ref="AY1:BC1"/>
    <mergeCell ref="AY2:BC2"/>
    <mergeCell ref="O2:S2"/>
    <mergeCell ref="U2:Y2"/>
    <mergeCell ref="AS2:AW2"/>
    <mergeCell ref="AM2:AQ2"/>
    <mergeCell ref="AM1:AQ1"/>
    <mergeCell ref="AS1:AW1"/>
    <mergeCell ref="BE1:BI1"/>
    <mergeCell ref="BE2:BI2"/>
    <mergeCell ref="BK1:BO1"/>
    <mergeCell ref="BK2:BO2"/>
    <mergeCell ref="CC1:CG1"/>
    <mergeCell ref="CC2:CG2"/>
    <mergeCell ref="CI1:CM1"/>
    <mergeCell ref="CI2:CM2"/>
    <mergeCell ref="BW1:CA1"/>
    <mergeCell ref="BW2:CA2"/>
    <mergeCell ref="C2:G2"/>
    <mergeCell ref="I2:M2"/>
    <mergeCell ref="U1:Y1"/>
    <mergeCell ref="AA1:AE1"/>
    <mergeCell ref="I1:M1"/>
    <mergeCell ref="C1:G1"/>
    <mergeCell ref="AA2:AE2"/>
    <mergeCell ref="O1:S1"/>
    <mergeCell ref="AG1:AK1"/>
    <mergeCell ref="AG2:AK2"/>
    <mergeCell ref="BQ1:BU1"/>
    <mergeCell ref="BQ2:BU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G46"/>
  <sheetViews>
    <sheetView showGridLines="0" zoomScaleNormal="100" workbookViewId="0">
      <pane xSplit="1" ySplit="5" topLeftCell="BP12" activePane="bottomRight" state="frozen"/>
      <selection activeCell="D13" sqref="D13:K13"/>
      <selection pane="topRight" activeCell="D13" sqref="D13:K13"/>
      <selection pane="bottomLeft" activeCell="D13" sqref="D13:K13"/>
      <selection pane="bottomRight" activeCell="A22" sqref="A22"/>
    </sheetView>
  </sheetViews>
  <sheetFormatPr defaultColWidth="9.140625" defaultRowHeight="12.75" outlineLevelCol="1"/>
  <cols>
    <col min="1" max="1" width="29.42578125" style="4" customWidth="1"/>
    <col min="2" max="2" width="4.28515625" style="9" customWidth="1" outlineLevel="1"/>
    <col min="3" max="6" width="9.140625" style="4" customWidth="1"/>
    <col min="7" max="7" width="9.140625" style="11" customWidth="1"/>
    <col min="8" max="8" width="4.85546875" style="3" customWidth="1"/>
    <col min="9" max="12" width="9.140625" style="4" customWidth="1"/>
    <col min="13" max="13" width="9.140625" style="11" customWidth="1"/>
    <col min="14" max="14" width="4.85546875" style="4" customWidth="1"/>
    <col min="15" max="18" width="9.140625" style="4" customWidth="1"/>
    <col min="19" max="19" width="9.140625" style="11" customWidth="1"/>
    <col min="20" max="20" width="4.85546875" style="4" customWidth="1"/>
    <col min="21" max="24" width="9.140625" style="4" customWidth="1"/>
    <col min="25" max="25" width="9.140625" style="11" customWidth="1"/>
    <col min="26" max="26" width="4.85546875" style="4" customWidth="1"/>
    <col min="27" max="30" width="9.140625" style="4" customWidth="1"/>
    <col min="31" max="31" width="9.140625" style="11" customWidth="1"/>
    <col min="32" max="32" width="4.85546875" style="4" customWidth="1"/>
    <col min="33" max="33" width="10.5703125" style="4" customWidth="1"/>
    <col min="34" max="36" width="10.85546875" style="4" customWidth="1"/>
    <col min="37" max="37" width="9.140625" style="11" customWidth="1"/>
    <col min="38" max="38" width="4.85546875" style="4" customWidth="1"/>
    <col min="39" max="39" width="10.85546875" style="4" customWidth="1"/>
    <col min="40" max="40" width="10.5703125" style="4" customWidth="1"/>
    <col min="41" max="42" width="9.140625" style="4" customWidth="1"/>
    <col min="43" max="43" width="9.140625" style="11" customWidth="1"/>
    <col min="44" max="44" width="4.85546875" style="4" customWidth="1"/>
    <col min="45" max="45" width="11" style="4" bestFit="1" customWidth="1"/>
    <col min="46" max="46" width="10.7109375" style="4" bestFit="1" customWidth="1"/>
    <col min="47" max="48" width="9.85546875" style="4" bestFit="1" customWidth="1"/>
    <col min="49" max="49" width="9.140625" style="11"/>
    <col min="50" max="50" width="4.85546875" style="4" customWidth="1"/>
    <col min="51" max="51" width="11" style="4" bestFit="1" customWidth="1"/>
    <col min="52" max="52" width="10.7109375" style="4" bestFit="1" customWidth="1"/>
    <col min="53" max="54" width="9.85546875" style="4" bestFit="1" customWidth="1"/>
    <col min="55" max="55" width="9.140625" style="11"/>
    <col min="56" max="56" width="1.85546875" style="4" customWidth="1"/>
    <col min="57" max="57" width="11" style="4" bestFit="1" customWidth="1"/>
    <col min="58" max="58" width="10.7109375" style="4" bestFit="1" customWidth="1"/>
    <col min="59" max="60" width="9.85546875" style="4" bestFit="1" customWidth="1"/>
    <col min="61" max="61" width="9.140625" style="11"/>
    <col min="62" max="62" width="2.42578125" style="4" customWidth="1"/>
    <col min="63" max="67" width="9.140625" style="4"/>
    <col min="68" max="68" width="3.140625" style="4" customWidth="1"/>
    <col min="69" max="73" width="9.140625" style="4"/>
    <col min="74" max="74" width="3.140625" style="4" customWidth="1"/>
    <col min="75" max="79" width="9.140625" style="4"/>
    <col min="80" max="80" width="3.140625" style="4" customWidth="1"/>
    <col min="81" max="16384" width="9.140625" style="4"/>
  </cols>
  <sheetData>
    <row r="1" spans="1:85">
      <c r="C1" s="112" t="s">
        <v>144</v>
      </c>
      <c r="D1" s="112"/>
      <c r="E1" s="112"/>
      <c r="F1" s="112"/>
      <c r="G1" s="112"/>
      <c r="I1" s="112" t="s">
        <v>144</v>
      </c>
      <c r="J1" s="112"/>
      <c r="K1" s="112"/>
      <c r="L1" s="112"/>
      <c r="M1" s="112"/>
      <c r="O1" s="112" t="s">
        <v>144</v>
      </c>
      <c r="P1" s="112"/>
      <c r="Q1" s="112"/>
      <c r="R1" s="112"/>
      <c r="S1" s="112"/>
      <c r="U1" s="112" t="s">
        <v>144</v>
      </c>
      <c r="V1" s="112"/>
      <c r="W1" s="112"/>
      <c r="X1" s="112"/>
      <c r="Y1" s="112"/>
      <c r="AA1" s="112" t="s">
        <v>120</v>
      </c>
      <c r="AB1" s="112"/>
      <c r="AC1" s="112"/>
      <c r="AD1" s="112"/>
      <c r="AE1" s="112"/>
      <c r="AG1" s="112" t="s">
        <v>120</v>
      </c>
      <c r="AH1" s="112"/>
      <c r="AI1" s="112"/>
      <c r="AJ1" s="112"/>
      <c r="AK1" s="112"/>
      <c r="AM1" s="112" t="s">
        <v>120</v>
      </c>
      <c r="AN1" s="112"/>
      <c r="AO1" s="112"/>
      <c r="AP1" s="112"/>
      <c r="AQ1" s="112"/>
      <c r="AS1" s="112" t="s">
        <v>120</v>
      </c>
      <c r="AT1" s="112"/>
      <c r="AU1" s="112"/>
      <c r="AV1" s="112"/>
      <c r="AW1" s="112"/>
      <c r="AY1" s="112" t="s">
        <v>120</v>
      </c>
      <c r="AZ1" s="112"/>
      <c r="BA1" s="112"/>
      <c r="BB1" s="112"/>
      <c r="BC1" s="112"/>
      <c r="BE1" s="112" t="s">
        <v>120</v>
      </c>
      <c r="BF1" s="112"/>
      <c r="BG1" s="112"/>
      <c r="BH1" s="112"/>
      <c r="BI1" s="112"/>
      <c r="BK1" s="112" t="s">
        <v>120</v>
      </c>
      <c r="BL1" s="112"/>
      <c r="BM1" s="112"/>
      <c r="BN1" s="112"/>
      <c r="BO1" s="112"/>
      <c r="BQ1" s="112" t="s">
        <v>120</v>
      </c>
      <c r="BR1" s="112"/>
      <c r="BS1" s="112"/>
      <c r="BT1" s="112"/>
      <c r="BU1" s="112"/>
      <c r="BW1" s="112" t="s">
        <v>120</v>
      </c>
      <c r="BX1" s="112"/>
      <c r="BY1" s="112"/>
      <c r="BZ1" s="112"/>
      <c r="CA1" s="112"/>
      <c r="CC1" s="112" t="s">
        <v>120</v>
      </c>
      <c r="CD1" s="112"/>
      <c r="CE1" s="112"/>
      <c r="CF1" s="112"/>
      <c r="CG1" s="112"/>
    </row>
    <row r="2" spans="1:85">
      <c r="A2" s="1" t="s">
        <v>46</v>
      </c>
      <c r="B2" s="2"/>
      <c r="C2" s="113">
        <v>2001</v>
      </c>
      <c r="D2" s="113"/>
      <c r="E2" s="113"/>
      <c r="F2" s="113"/>
      <c r="G2" s="113"/>
      <c r="I2" s="113">
        <v>2002</v>
      </c>
      <c r="J2" s="113"/>
      <c r="K2" s="113"/>
      <c r="L2" s="113"/>
      <c r="M2" s="113"/>
      <c r="O2" s="113">
        <v>2003</v>
      </c>
      <c r="P2" s="113"/>
      <c r="Q2" s="113"/>
      <c r="R2" s="113"/>
      <c r="S2" s="113"/>
      <c r="U2" s="113">
        <v>2004</v>
      </c>
      <c r="V2" s="113"/>
      <c r="W2" s="113"/>
      <c r="X2" s="113"/>
      <c r="Y2" s="113"/>
      <c r="AA2" s="113">
        <v>2005</v>
      </c>
      <c r="AB2" s="113"/>
      <c r="AC2" s="113"/>
      <c r="AD2" s="113"/>
      <c r="AE2" s="113"/>
      <c r="AG2" s="113">
        <v>2006</v>
      </c>
      <c r="AH2" s="113"/>
      <c r="AI2" s="113"/>
      <c r="AJ2" s="113"/>
      <c r="AK2" s="113"/>
      <c r="AM2" s="113">
        <v>2007</v>
      </c>
      <c r="AN2" s="113"/>
      <c r="AO2" s="113"/>
      <c r="AP2" s="113"/>
      <c r="AQ2" s="113"/>
      <c r="AS2" s="113">
        <v>2008</v>
      </c>
      <c r="AT2" s="113"/>
      <c r="AU2" s="113"/>
      <c r="AV2" s="113"/>
      <c r="AW2" s="113"/>
      <c r="AY2" s="113">
        <v>2009</v>
      </c>
      <c r="AZ2" s="113"/>
      <c r="BA2" s="113"/>
      <c r="BB2" s="113"/>
      <c r="BC2" s="113"/>
      <c r="BE2" s="113">
        <v>2010</v>
      </c>
      <c r="BF2" s="113"/>
      <c r="BG2" s="113"/>
      <c r="BH2" s="113"/>
      <c r="BI2" s="113"/>
      <c r="BK2" s="113">
        <v>2011</v>
      </c>
      <c r="BL2" s="113"/>
      <c r="BM2" s="113"/>
      <c r="BN2" s="113"/>
      <c r="BO2" s="113"/>
      <c r="BQ2" s="113">
        <v>2012</v>
      </c>
      <c r="BR2" s="113"/>
      <c r="BS2" s="113"/>
      <c r="BT2" s="113"/>
      <c r="BU2" s="113"/>
      <c r="BW2" s="113">
        <v>2013</v>
      </c>
      <c r="BX2" s="113"/>
      <c r="BY2" s="113"/>
      <c r="BZ2" s="113"/>
      <c r="CA2" s="113"/>
      <c r="CC2" s="113">
        <v>2014</v>
      </c>
      <c r="CD2" s="113"/>
      <c r="CE2" s="113"/>
      <c r="CF2" s="113"/>
      <c r="CG2" s="113"/>
    </row>
    <row r="3" spans="1:85">
      <c r="A3" s="5" t="s">
        <v>213</v>
      </c>
      <c r="B3" s="6"/>
      <c r="C3" s="103" t="s">
        <v>10</v>
      </c>
      <c r="D3" s="103" t="s">
        <v>11</v>
      </c>
      <c r="E3" s="103" t="s">
        <v>12</v>
      </c>
      <c r="F3" s="103" t="s">
        <v>13</v>
      </c>
      <c r="G3" s="7" t="s">
        <v>14</v>
      </c>
      <c r="H3" s="8"/>
      <c r="I3" s="103" t="s">
        <v>10</v>
      </c>
      <c r="J3" s="103" t="s">
        <v>11</v>
      </c>
      <c r="K3" s="103" t="s">
        <v>12</v>
      </c>
      <c r="L3" s="103" t="s">
        <v>13</v>
      </c>
      <c r="M3" s="7"/>
      <c r="O3" s="103" t="s">
        <v>10</v>
      </c>
      <c r="P3" s="103" t="s">
        <v>11</v>
      </c>
      <c r="Q3" s="103" t="s">
        <v>12</v>
      </c>
      <c r="R3" s="103" t="s">
        <v>13</v>
      </c>
      <c r="S3" s="7"/>
      <c r="U3" s="103" t="s">
        <v>10</v>
      </c>
      <c r="V3" s="103" t="s">
        <v>11</v>
      </c>
      <c r="W3" s="103" t="s">
        <v>12</v>
      </c>
      <c r="X3" s="103" t="s">
        <v>13</v>
      </c>
      <c r="Y3" s="7"/>
      <c r="AA3" s="103" t="s">
        <v>10</v>
      </c>
      <c r="AB3" s="103" t="s">
        <v>11</v>
      </c>
      <c r="AC3" s="103" t="s">
        <v>12</v>
      </c>
      <c r="AD3" s="103" t="s">
        <v>13</v>
      </c>
      <c r="AE3" s="7"/>
      <c r="AF3" s="76"/>
      <c r="AG3" s="103" t="s">
        <v>10</v>
      </c>
      <c r="AH3" s="103" t="s">
        <v>11</v>
      </c>
      <c r="AI3" s="103" t="s">
        <v>12</v>
      </c>
      <c r="AJ3" s="103" t="s">
        <v>13</v>
      </c>
      <c r="AK3" s="7"/>
      <c r="AM3" s="103" t="s">
        <v>10</v>
      </c>
      <c r="AN3" s="103" t="s">
        <v>11</v>
      </c>
      <c r="AO3" s="103" t="s">
        <v>12</v>
      </c>
      <c r="AP3" s="103" t="s">
        <v>13</v>
      </c>
      <c r="AQ3" s="7"/>
      <c r="AS3" s="103" t="s">
        <v>10</v>
      </c>
      <c r="AT3" s="103" t="s">
        <v>11</v>
      </c>
      <c r="AU3" s="103" t="s">
        <v>12</v>
      </c>
      <c r="AV3" s="103" t="s">
        <v>13</v>
      </c>
      <c r="AW3" s="7"/>
      <c r="AY3" s="103" t="s">
        <v>10</v>
      </c>
      <c r="AZ3" s="103" t="s">
        <v>11</v>
      </c>
      <c r="BA3" s="103" t="s">
        <v>12</v>
      </c>
      <c r="BB3" s="103" t="s">
        <v>13</v>
      </c>
      <c r="BC3" s="7"/>
      <c r="BE3" s="103" t="s">
        <v>10</v>
      </c>
      <c r="BF3" s="103" t="s">
        <v>11</v>
      </c>
      <c r="BG3" s="103" t="s">
        <v>12</v>
      </c>
      <c r="BH3" s="103" t="s">
        <v>13</v>
      </c>
      <c r="BI3" s="7"/>
      <c r="BK3" s="103" t="s">
        <v>10</v>
      </c>
      <c r="BL3" s="103" t="s">
        <v>11</v>
      </c>
      <c r="BM3" s="103" t="s">
        <v>12</v>
      </c>
      <c r="BN3" s="103" t="s">
        <v>13</v>
      </c>
      <c r="BO3" s="7"/>
      <c r="BQ3" s="103" t="s">
        <v>10</v>
      </c>
      <c r="BR3" s="103" t="s">
        <v>11</v>
      </c>
      <c r="BS3" s="103" t="s">
        <v>12</v>
      </c>
      <c r="BT3" s="103" t="s">
        <v>13</v>
      </c>
      <c r="BU3" s="7"/>
      <c r="BW3" s="103" t="s">
        <v>10</v>
      </c>
      <c r="BX3" s="103" t="s">
        <v>11</v>
      </c>
      <c r="BY3" s="103" t="s">
        <v>12</v>
      </c>
      <c r="BZ3" s="103" t="s">
        <v>13</v>
      </c>
      <c r="CA3" s="7"/>
      <c r="CC3" s="103" t="s">
        <v>10</v>
      </c>
      <c r="CD3" s="103" t="s">
        <v>11</v>
      </c>
      <c r="CE3" s="103" t="s">
        <v>12</v>
      </c>
      <c r="CF3" s="103" t="s">
        <v>13</v>
      </c>
      <c r="CG3" s="7"/>
    </row>
    <row r="4" spans="1:85">
      <c r="G4" s="5"/>
      <c r="M4" s="5"/>
      <c r="S4" s="5"/>
      <c r="Y4" s="42"/>
      <c r="AE4" s="42"/>
      <c r="AK4" s="42"/>
      <c r="AQ4" s="42"/>
      <c r="AW4" s="42"/>
      <c r="BC4" s="42"/>
      <c r="BI4" s="42"/>
      <c r="BO4" s="42"/>
      <c r="BU4" s="42"/>
      <c r="CA4" s="42"/>
      <c r="CG4" s="42"/>
    </row>
    <row r="5" spans="1:85">
      <c r="G5" s="5"/>
      <c r="M5" s="5"/>
      <c r="S5" s="5"/>
      <c r="Y5" s="5"/>
      <c r="AE5" s="5"/>
      <c r="AK5" s="5"/>
      <c r="AQ5" s="5"/>
      <c r="AW5" s="5"/>
      <c r="BC5" s="5"/>
      <c r="BI5" s="5"/>
      <c r="BO5" s="5"/>
      <c r="BU5" s="5"/>
      <c r="CA5" s="5"/>
      <c r="CG5" s="5"/>
    </row>
    <row r="6" spans="1:85">
      <c r="BO6" s="11"/>
      <c r="BU6" s="11"/>
      <c r="CA6" s="11"/>
      <c r="CG6" s="11"/>
    </row>
    <row r="7" spans="1:85">
      <c r="BO7" s="11"/>
      <c r="BU7" s="11"/>
      <c r="CA7" s="11"/>
      <c r="CG7" s="11"/>
    </row>
    <row r="8" spans="1:85">
      <c r="A8" s="4" t="str">
        <f>' Financial Highlights'!A42</f>
        <v>Number of 20 DKK shares ('000)</v>
      </c>
      <c r="C8" s="4">
        <f>' Financial Highlights'!C42</f>
        <v>26980</v>
      </c>
      <c r="D8" s="4">
        <f>' Financial Highlights'!D42</f>
        <v>25000</v>
      </c>
      <c r="E8" s="4">
        <f>' Financial Highlights'!E42</f>
        <v>25000</v>
      </c>
      <c r="F8" s="4">
        <f>' Financial Highlights'!F42</f>
        <v>25000</v>
      </c>
      <c r="I8" s="4">
        <f>' Financial Highlights'!I42</f>
        <v>25000</v>
      </c>
      <c r="J8" s="4">
        <f>' Financial Highlights'!J42</f>
        <v>25000</v>
      </c>
      <c r="K8" s="4">
        <f>' Financial Highlights'!K42</f>
        <v>25000</v>
      </c>
      <c r="L8" s="4">
        <f>' Financial Highlights'!L42</f>
        <v>25000</v>
      </c>
      <c r="O8" s="4">
        <f>' Financial Highlights'!O42</f>
        <v>25000</v>
      </c>
      <c r="P8" s="4">
        <f>' Financial Highlights'!P42</f>
        <v>25000</v>
      </c>
      <c r="Q8" s="4">
        <f>' Financial Highlights'!Q42</f>
        <v>25000</v>
      </c>
      <c r="R8" s="4">
        <f>' Financial Highlights'!R42</f>
        <v>25000</v>
      </c>
      <c r="U8" s="4">
        <f>' Financial Highlights'!U42</f>
        <v>25000</v>
      </c>
      <c r="V8" s="4">
        <f>' Financial Highlights'!V42</f>
        <v>25000</v>
      </c>
      <c r="W8" s="4">
        <f>' Financial Highlights'!W42</f>
        <v>24500</v>
      </c>
      <c r="X8" s="4">
        <f>' Financial Highlights'!X42</f>
        <v>24500</v>
      </c>
      <c r="Y8" s="24"/>
      <c r="AA8" s="13">
        <v>24500</v>
      </c>
      <c r="AB8" s="13">
        <v>24500</v>
      </c>
      <c r="AC8" s="13">
        <v>24500</v>
      </c>
      <c r="AD8" s="13">
        <v>24500</v>
      </c>
      <c r="AE8" s="47"/>
      <c r="AF8" s="13"/>
      <c r="AG8" s="13">
        <v>24500</v>
      </c>
      <c r="AH8" s="13">
        <v>23500</v>
      </c>
      <c r="AI8" s="13">
        <v>23500</v>
      </c>
      <c r="AJ8" s="13">
        <v>23500</v>
      </c>
      <c r="AK8" s="24"/>
      <c r="AL8" s="13"/>
      <c r="AM8" s="13">
        <v>23500</v>
      </c>
      <c r="AN8" s="13">
        <v>23638</v>
      </c>
      <c r="AO8" s="13">
        <v>23638</v>
      </c>
      <c r="AP8" s="13">
        <v>23638</v>
      </c>
      <c r="AQ8" s="24"/>
      <c r="AR8" s="13"/>
      <c r="AS8" s="13">
        <v>23655</v>
      </c>
      <c r="AT8" s="13">
        <v>23718</v>
      </c>
      <c r="AU8" s="13">
        <v>23718</v>
      </c>
      <c r="AV8" s="13">
        <v>23718</v>
      </c>
      <c r="AW8" s="24"/>
      <c r="AX8" s="13"/>
      <c r="AY8" s="13">
        <v>23718</v>
      </c>
      <c r="AZ8" s="13">
        <v>23718</v>
      </c>
      <c r="BA8" s="13">
        <v>23718</v>
      </c>
      <c r="BB8" s="82">
        <v>23718</v>
      </c>
      <c r="BC8" s="24"/>
      <c r="BE8" s="13">
        <v>23722</v>
      </c>
      <c r="BF8" s="13">
        <v>23738</v>
      </c>
      <c r="BG8" s="13">
        <v>23738</v>
      </c>
      <c r="BH8" s="82">
        <v>23738</v>
      </c>
      <c r="BI8" s="24"/>
      <c r="BK8" s="13">
        <v>23737.978999999999</v>
      </c>
      <c r="BL8" s="13">
        <v>23737.978999999999</v>
      </c>
      <c r="BM8" s="13">
        <v>23737.978999999999</v>
      </c>
      <c r="BN8" s="13">
        <v>23737.978999999999</v>
      </c>
      <c r="BO8" s="24"/>
      <c r="BQ8" s="13">
        <v>23888</v>
      </c>
      <c r="BR8" s="13">
        <v>23888</v>
      </c>
      <c r="BS8" s="13">
        <v>23888</v>
      </c>
      <c r="BT8" s="13">
        <v>23888</v>
      </c>
      <c r="BU8" s="24"/>
      <c r="BW8" s="13">
        <v>23930</v>
      </c>
      <c r="BX8" s="13">
        <v>23930</v>
      </c>
      <c r="BY8" s="13">
        <v>23930</v>
      </c>
      <c r="BZ8" s="13">
        <v>23930</v>
      </c>
      <c r="CA8" s="24"/>
      <c r="CC8" s="13">
        <v>23934</v>
      </c>
      <c r="CD8" s="13">
        <v>23934</v>
      </c>
      <c r="CE8" s="13">
        <v>23934</v>
      </c>
      <c r="CF8" s="13">
        <v>23934</v>
      </c>
      <c r="CG8" s="24"/>
    </row>
    <row r="9" spans="1:85">
      <c r="A9" s="4" t="s">
        <v>51</v>
      </c>
      <c r="C9" s="4">
        <v>2543</v>
      </c>
      <c r="D9" s="4">
        <v>577</v>
      </c>
      <c r="E9" s="4">
        <v>577</v>
      </c>
      <c r="F9" s="4">
        <v>627</v>
      </c>
      <c r="I9" s="4">
        <v>499</v>
      </c>
      <c r="J9" s="4">
        <v>499</v>
      </c>
      <c r="K9" s="4">
        <v>499</v>
      </c>
      <c r="L9" s="4">
        <v>499</v>
      </c>
      <c r="O9" s="4">
        <v>499</v>
      </c>
      <c r="P9" s="4">
        <v>499</v>
      </c>
      <c r="Q9" s="4">
        <v>499</v>
      </c>
      <c r="R9" s="4">
        <v>499</v>
      </c>
      <c r="U9" s="4">
        <v>500</v>
      </c>
      <c r="V9" s="4">
        <v>500</v>
      </c>
      <c r="W9" s="4">
        <v>0</v>
      </c>
      <c r="X9" s="4">
        <v>0</v>
      </c>
      <c r="Y9" s="24"/>
      <c r="AA9" s="13">
        <v>0</v>
      </c>
      <c r="AB9" s="13">
        <v>0</v>
      </c>
      <c r="AC9" s="13">
        <v>1105</v>
      </c>
      <c r="AD9" s="13">
        <v>1105</v>
      </c>
      <c r="AE9" s="47"/>
      <c r="AF9" s="13"/>
      <c r="AG9" s="13">
        <v>1105</v>
      </c>
      <c r="AH9" s="13">
        <v>78</v>
      </c>
      <c r="AI9" s="13">
        <v>78</v>
      </c>
      <c r="AJ9" s="13">
        <v>78</v>
      </c>
      <c r="AK9" s="24"/>
      <c r="AL9" s="13"/>
      <c r="AM9" s="13">
        <v>78</v>
      </c>
      <c r="AN9" s="13">
        <v>78</v>
      </c>
      <c r="AO9" s="13">
        <v>78</v>
      </c>
      <c r="AP9" s="13">
        <v>78</v>
      </c>
      <c r="AQ9" s="24"/>
      <c r="AR9" s="13"/>
      <c r="AS9" s="57">
        <v>78</v>
      </c>
      <c r="AT9" s="57">
        <v>78</v>
      </c>
      <c r="AU9" s="57">
        <v>78</v>
      </c>
      <c r="AV9" s="57">
        <v>78</v>
      </c>
      <c r="AW9" s="63"/>
      <c r="AX9" s="13"/>
      <c r="AY9" s="57">
        <v>78</v>
      </c>
      <c r="AZ9" s="57">
        <v>78</v>
      </c>
      <c r="BA9" s="57">
        <v>78</v>
      </c>
      <c r="BB9" s="82">
        <v>78</v>
      </c>
      <c r="BC9" s="63"/>
      <c r="BE9" s="57">
        <v>78</v>
      </c>
      <c r="BF9" s="57">
        <v>77</v>
      </c>
      <c r="BG9" s="57">
        <v>77</v>
      </c>
      <c r="BH9" s="82">
        <v>77</v>
      </c>
      <c r="BI9" s="63"/>
      <c r="BK9" s="57">
        <v>77.424999999999997</v>
      </c>
      <c r="BL9" s="57">
        <v>77.424999999999997</v>
      </c>
      <c r="BM9" s="57">
        <v>77.424999999999997</v>
      </c>
      <c r="BN9" s="57">
        <v>77.424999999999997</v>
      </c>
      <c r="BO9" s="63"/>
      <c r="BQ9" s="57">
        <v>77.424999999999997</v>
      </c>
      <c r="BR9" s="57">
        <v>77</v>
      </c>
      <c r="BS9" s="57">
        <v>77</v>
      </c>
      <c r="BT9" s="57">
        <v>77</v>
      </c>
      <c r="BU9" s="63"/>
      <c r="BW9" s="57">
        <v>77</v>
      </c>
      <c r="BX9" s="57">
        <v>77</v>
      </c>
      <c r="BY9" s="57">
        <v>77</v>
      </c>
      <c r="BZ9" s="57">
        <v>77</v>
      </c>
      <c r="CA9" s="63"/>
      <c r="CC9" s="57">
        <v>77</v>
      </c>
      <c r="CD9" s="57">
        <v>77</v>
      </c>
      <c r="CE9" s="57">
        <v>77</v>
      </c>
      <c r="CF9" s="57">
        <v>77</v>
      </c>
      <c r="CG9" s="63"/>
    </row>
    <row r="10" spans="1:85" s="11" customFormat="1">
      <c r="A10" s="11" t="s">
        <v>52</v>
      </c>
      <c r="B10" s="6"/>
      <c r="C10" s="12">
        <f>C8-C9</f>
        <v>24437</v>
      </c>
      <c r="D10" s="12">
        <f>D8-D9</f>
        <v>24423</v>
      </c>
      <c r="E10" s="12">
        <f>E8-E9</f>
        <v>24423</v>
      </c>
      <c r="F10" s="12">
        <f>F8-F9</f>
        <v>24373</v>
      </c>
      <c r="H10" s="3"/>
      <c r="I10" s="12">
        <f>I8-I9</f>
        <v>24501</v>
      </c>
      <c r="J10" s="12">
        <f>J8-J9</f>
        <v>24501</v>
      </c>
      <c r="K10" s="12">
        <f>K8-K9</f>
        <v>24501</v>
      </c>
      <c r="L10" s="12">
        <f>L8-L9</f>
        <v>24501</v>
      </c>
      <c r="O10" s="12">
        <f>O8-O9</f>
        <v>24501</v>
      </c>
      <c r="P10" s="12">
        <f>P8-P9</f>
        <v>24501</v>
      </c>
      <c r="Q10" s="12">
        <f>Q8-Q9</f>
        <v>24501</v>
      </c>
      <c r="R10" s="12">
        <f>R8-R9</f>
        <v>24501</v>
      </c>
      <c r="U10" s="12">
        <f>U8-U9</f>
        <v>24500</v>
      </c>
      <c r="V10" s="12">
        <f>V8-V9</f>
        <v>24500</v>
      </c>
      <c r="W10" s="12">
        <f>W8-W9</f>
        <v>24500</v>
      </c>
      <c r="X10" s="12">
        <f>X8-X9</f>
        <v>24500</v>
      </c>
      <c r="Y10" s="35"/>
      <c r="AA10" s="16">
        <f>AA8-AA9</f>
        <v>24500</v>
      </c>
      <c r="AB10" s="16">
        <f>AB8-AB9</f>
        <v>24500</v>
      </c>
      <c r="AC10" s="16">
        <f>AC8-AC9</f>
        <v>23395</v>
      </c>
      <c r="AD10" s="16">
        <f>AD8-AD9</f>
        <v>23395</v>
      </c>
      <c r="AE10" s="46"/>
      <c r="AF10" s="18"/>
      <c r="AG10" s="16">
        <f>AG8-AG9</f>
        <v>23395</v>
      </c>
      <c r="AH10" s="16">
        <f>AH8-AH9</f>
        <v>23422</v>
      </c>
      <c r="AI10" s="16">
        <f>AI8-AI9</f>
        <v>23422</v>
      </c>
      <c r="AJ10" s="16">
        <f>AJ8-AJ9</f>
        <v>23422</v>
      </c>
      <c r="AK10" s="35"/>
      <c r="AL10" s="18"/>
      <c r="AM10" s="16">
        <f>AM8-AM9</f>
        <v>23422</v>
      </c>
      <c r="AN10" s="16">
        <f>AN8-AN9</f>
        <v>23560</v>
      </c>
      <c r="AO10" s="16">
        <f>AO8-AO9</f>
        <v>23560</v>
      </c>
      <c r="AP10" s="16">
        <f>AP8-AP9</f>
        <v>23560</v>
      </c>
      <c r="AQ10" s="35"/>
      <c r="AR10" s="18"/>
      <c r="AS10" s="60">
        <f>AS8-AS9</f>
        <v>23577</v>
      </c>
      <c r="AT10" s="60">
        <f>AT8-AT9</f>
        <v>23640</v>
      </c>
      <c r="AU10" s="60">
        <f>AU8-AU9</f>
        <v>23640</v>
      </c>
      <c r="AV10" s="60">
        <f>AV8-AV9</f>
        <v>23640</v>
      </c>
      <c r="AW10" s="3"/>
      <c r="AX10" s="18"/>
      <c r="AY10" s="60">
        <f>AY8-AY9</f>
        <v>23640</v>
      </c>
      <c r="AZ10" s="60">
        <f>AZ8-AZ9</f>
        <v>23640</v>
      </c>
      <c r="BA10" s="60">
        <f>BA8-BA9</f>
        <v>23640</v>
      </c>
      <c r="BB10" s="60">
        <f>BB8-BB9</f>
        <v>23640</v>
      </c>
      <c r="BC10" s="3"/>
      <c r="BE10" s="60">
        <f>BE8-BE9</f>
        <v>23644</v>
      </c>
      <c r="BF10" s="60">
        <f>BF8-BF9</f>
        <v>23661</v>
      </c>
      <c r="BG10" s="60">
        <f>BG8-BG9</f>
        <v>23661</v>
      </c>
      <c r="BH10" s="60">
        <f>BH8-BH9</f>
        <v>23661</v>
      </c>
      <c r="BI10" s="3"/>
      <c r="BK10" s="60">
        <f>BK8-BK9</f>
        <v>23660.554</v>
      </c>
      <c r="BL10" s="60">
        <f>BL8-BL9</f>
        <v>23660.554</v>
      </c>
      <c r="BM10" s="60">
        <f>BM8-BM9</f>
        <v>23660.554</v>
      </c>
      <c r="BN10" s="60">
        <f>BN8-BN9</f>
        <v>23660.554</v>
      </c>
      <c r="BO10" s="3"/>
      <c r="BQ10" s="60">
        <f>BQ8-BQ9</f>
        <v>23810.575000000001</v>
      </c>
      <c r="BR10" s="60">
        <f>BR8-BR9</f>
        <v>23811</v>
      </c>
      <c r="BS10" s="60">
        <f>BS8-BS9</f>
        <v>23811</v>
      </c>
      <c r="BT10" s="60">
        <f>BT8-BT9</f>
        <v>23811</v>
      </c>
      <c r="BU10" s="3"/>
      <c r="BW10" s="60">
        <f>BW8-BW9</f>
        <v>23853</v>
      </c>
      <c r="BX10" s="60">
        <f>BX8-BX9</f>
        <v>23853</v>
      </c>
      <c r="BY10" s="60">
        <f>BY8-BY9</f>
        <v>23853</v>
      </c>
      <c r="BZ10" s="60">
        <f>BZ8-BZ9</f>
        <v>23853</v>
      </c>
      <c r="CA10" s="3"/>
      <c r="CC10" s="60">
        <f>CC8-CC9</f>
        <v>23857</v>
      </c>
      <c r="CD10" s="60">
        <f>CD8-CD9</f>
        <v>23857</v>
      </c>
      <c r="CE10" s="60">
        <f>CE8-CE9</f>
        <v>23857</v>
      </c>
      <c r="CF10" s="60">
        <f>CF8-CF9</f>
        <v>23857</v>
      </c>
      <c r="CG10" s="3"/>
    </row>
    <row r="11" spans="1:85">
      <c r="Y11" s="24"/>
      <c r="AA11" s="13"/>
      <c r="AB11" s="13"/>
      <c r="AC11" s="13"/>
      <c r="AD11" s="13"/>
      <c r="AE11" s="47"/>
      <c r="AF11" s="13"/>
      <c r="AG11" s="13"/>
      <c r="AH11" s="13"/>
      <c r="AI11" s="13"/>
      <c r="AJ11" s="13"/>
      <c r="AK11" s="24"/>
      <c r="AL11" s="13"/>
      <c r="AM11" s="13"/>
      <c r="AN11" s="13"/>
      <c r="AO11" s="13"/>
      <c r="AP11" s="13"/>
      <c r="AQ11" s="24"/>
      <c r="AR11" s="13"/>
      <c r="AS11" s="57"/>
      <c r="AT11" s="57"/>
      <c r="AU11" s="57"/>
      <c r="AV11" s="57"/>
      <c r="AW11" s="63"/>
      <c r="AX11" s="13"/>
      <c r="AY11" s="57"/>
      <c r="AZ11" s="57"/>
      <c r="BA11" s="57"/>
      <c r="BB11" s="57"/>
      <c r="BC11" s="63"/>
      <c r="BE11" s="57"/>
      <c r="BF11" s="57"/>
      <c r="BG11" s="57"/>
      <c r="BH11" s="57"/>
      <c r="BI11" s="63"/>
      <c r="BK11" s="57"/>
      <c r="BL11" s="57"/>
      <c r="BM11" s="57"/>
      <c r="BN11" s="57"/>
      <c r="BO11" s="63"/>
      <c r="BQ11" s="57"/>
      <c r="BR11" s="57"/>
      <c r="BS11" s="57"/>
      <c r="BT11" s="57"/>
      <c r="BU11" s="63"/>
      <c r="BW11" s="57"/>
      <c r="BX11" s="57"/>
      <c r="BY11" s="57"/>
      <c r="BZ11" s="57"/>
      <c r="CA11" s="63"/>
      <c r="CC11" s="57"/>
      <c r="CD11" s="57"/>
      <c r="CE11" s="57"/>
      <c r="CF11" s="57"/>
      <c r="CG11" s="63"/>
    </row>
    <row r="12" spans="1:85">
      <c r="A12" s="4" t="str">
        <f>' Financial Highlights'!A46</f>
        <v>Market price, DKK per share</v>
      </c>
      <c r="C12" s="4">
        <f>' Financial Highlights'!C46</f>
        <v>252</v>
      </c>
      <c r="D12" s="4">
        <f>' Financial Highlights'!D46</f>
        <v>119</v>
      </c>
      <c r="E12" s="4">
        <f>' Financial Highlights'!E46</f>
        <v>103</v>
      </c>
      <c r="F12" s="4">
        <f>' Financial Highlights'!F46</f>
        <v>105</v>
      </c>
      <c r="I12" s="4">
        <f>' Financial Highlights'!I46</f>
        <v>95</v>
      </c>
      <c r="J12" s="4">
        <f>' Financial Highlights'!J46</f>
        <v>85</v>
      </c>
      <c r="K12" s="4">
        <f>' Financial Highlights'!K46</f>
        <v>57</v>
      </c>
      <c r="L12" s="4">
        <f>' Financial Highlights'!L46</f>
        <v>74</v>
      </c>
      <c r="O12" s="4">
        <f>' Financial Highlights'!O46</f>
        <v>76</v>
      </c>
      <c r="P12" s="4">
        <f>' Financial Highlights'!P46</f>
        <v>90</v>
      </c>
      <c r="Q12" s="4">
        <f>' Financial Highlights'!Q46</f>
        <v>106</v>
      </c>
      <c r="R12" s="4">
        <f>' Financial Highlights'!R46</f>
        <v>108</v>
      </c>
      <c r="U12" s="4">
        <f>' Financial Highlights'!U46</f>
        <v>118</v>
      </c>
      <c r="V12" s="4">
        <f>' Financial Highlights'!V46</f>
        <v>125</v>
      </c>
      <c r="W12" s="4">
        <f>' Financial Highlights'!W46</f>
        <v>137</v>
      </c>
      <c r="X12" s="4">
        <f>' Financial Highlights'!X46</f>
        <v>159</v>
      </c>
      <c r="Y12" s="24"/>
      <c r="AA12" s="13">
        <f>' Financial Highlights'!AG46</f>
        <v>198</v>
      </c>
      <c r="AB12" s="13">
        <f>' Financial Highlights'!AH46</f>
        <v>229</v>
      </c>
      <c r="AC12" s="13">
        <f>' Financial Highlights'!AI46</f>
        <v>262</v>
      </c>
      <c r="AD12" s="13">
        <f>' Financial Highlights'!AJ46</f>
        <v>289</v>
      </c>
      <c r="AE12" s="47"/>
      <c r="AF12" s="13"/>
      <c r="AG12" s="13">
        <f>' Financial Highlights'!AM46</f>
        <v>389</v>
      </c>
      <c r="AH12" s="13">
        <v>366</v>
      </c>
      <c r="AI12" s="13">
        <v>442</v>
      </c>
      <c r="AJ12" s="13">
        <v>503</v>
      </c>
      <c r="AK12" s="24"/>
      <c r="AL12" s="13"/>
      <c r="AM12" s="13">
        <v>448</v>
      </c>
      <c r="AN12" s="13">
        <v>549</v>
      </c>
      <c r="AO12" s="13">
        <v>586</v>
      </c>
      <c r="AP12" s="13">
        <v>459</v>
      </c>
      <c r="AQ12" s="24"/>
      <c r="AR12" s="13"/>
      <c r="AS12" s="57">
        <v>340</v>
      </c>
      <c r="AT12" s="57">
        <v>383</v>
      </c>
      <c r="AU12" s="57">
        <v>245</v>
      </c>
      <c r="AV12" s="57">
        <v>106</v>
      </c>
      <c r="AW12" s="63"/>
      <c r="AX12" s="13"/>
      <c r="AY12" s="57">
        <v>97</v>
      </c>
      <c r="AZ12" s="57">
        <v>178.75</v>
      </c>
      <c r="BA12" s="57">
        <v>297</v>
      </c>
      <c r="BB12" s="82">
        <v>291</v>
      </c>
      <c r="BC12" s="63"/>
      <c r="BE12" s="57">
        <v>305</v>
      </c>
      <c r="BF12" s="57">
        <v>274</v>
      </c>
      <c r="BG12" s="57">
        <v>270</v>
      </c>
      <c r="BH12" s="82">
        <v>297</v>
      </c>
      <c r="BI12" s="63"/>
      <c r="BK12" s="57">
        <v>309</v>
      </c>
      <c r="BL12" s="57">
        <v>329</v>
      </c>
      <c r="BM12" s="57">
        <v>202</v>
      </c>
      <c r="BN12" s="82">
        <v>191</v>
      </c>
      <c r="BO12" s="63"/>
      <c r="BQ12" s="57">
        <v>254</v>
      </c>
      <c r="BR12" s="57">
        <v>190</v>
      </c>
      <c r="BS12" s="57">
        <v>202</v>
      </c>
      <c r="BT12" s="82">
        <v>204</v>
      </c>
      <c r="BU12" s="63"/>
      <c r="BW12" s="57">
        <v>216</v>
      </c>
      <c r="BX12" s="57">
        <v>208</v>
      </c>
      <c r="BY12" s="57">
        <v>274</v>
      </c>
      <c r="BZ12" s="82">
        <v>268</v>
      </c>
      <c r="CA12" s="63"/>
      <c r="CC12" s="57">
        <v>314</v>
      </c>
      <c r="CD12" s="57">
        <v>374</v>
      </c>
      <c r="CE12" s="57">
        <v>325</v>
      </c>
      <c r="CF12" s="82">
        <v>332</v>
      </c>
      <c r="CG12" s="63"/>
    </row>
    <row r="13" spans="1:85">
      <c r="Y13" s="24"/>
      <c r="AA13" s="13"/>
      <c r="AB13" s="13"/>
      <c r="AC13" s="13"/>
      <c r="AD13" s="13"/>
      <c r="AE13" s="47"/>
      <c r="AF13" s="13"/>
      <c r="AG13" s="13"/>
      <c r="AH13" s="13"/>
      <c r="AI13" s="13"/>
      <c r="AJ13" s="13"/>
      <c r="AK13" s="24"/>
      <c r="AL13" s="13"/>
      <c r="AM13" s="13"/>
      <c r="AN13" s="13"/>
      <c r="AO13" s="13"/>
      <c r="AP13" s="13"/>
      <c r="AQ13" s="24"/>
      <c r="AR13" s="13"/>
      <c r="AS13" s="57"/>
      <c r="AT13" s="57"/>
      <c r="AU13" s="57"/>
      <c r="AV13" s="57"/>
      <c r="AW13" s="63"/>
      <c r="AX13" s="13"/>
      <c r="AY13" s="57"/>
      <c r="AZ13" s="57"/>
      <c r="BA13" s="57"/>
      <c r="BB13" s="57"/>
      <c r="BC13" s="63"/>
      <c r="BE13" s="57"/>
      <c r="BF13" s="57"/>
      <c r="BG13" s="57"/>
      <c r="BH13" s="57"/>
      <c r="BI13" s="63"/>
      <c r="BK13" s="57"/>
      <c r="BL13" s="57"/>
      <c r="BM13" s="57"/>
      <c r="BN13" s="57"/>
      <c r="BO13" s="63"/>
      <c r="BQ13" s="57"/>
      <c r="BR13" s="57"/>
      <c r="BS13" s="57"/>
      <c r="BT13" s="57"/>
      <c r="BU13" s="63"/>
      <c r="BW13" s="57"/>
      <c r="BX13" s="57"/>
      <c r="BY13" s="57"/>
      <c r="BZ13" s="57"/>
      <c r="CA13" s="63"/>
      <c r="CC13" s="57"/>
      <c r="CD13" s="57"/>
      <c r="CE13" s="57"/>
      <c r="CF13" s="57"/>
      <c r="CG13" s="63"/>
    </row>
    <row r="14" spans="1:85">
      <c r="A14" s="4" t="s">
        <v>216</v>
      </c>
      <c r="C14" s="39">
        <f>C10*C12/1000</f>
        <v>6158.1239999999998</v>
      </c>
      <c r="D14" s="39">
        <f>D10*D12/1000</f>
        <v>2906.337</v>
      </c>
      <c r="E14" s="39">
        <f>E10*E12/1000</f>
        <v>2515.569</v>
      </c>
      <c r="F14" s="39">
        <f>F10*F12/1000</f>
        <v>2559.165</v>
      </c>
      <c r="I14" s="39">
        <f>I10*I12/1000</f>
        <v>2327.5949999999998</v>
      </c>
      <c r="J14" s="39">
        <f>J10*J12/1000</f>
        <v>2082.585</v>
      </c>
      <c r="K14" s="39">
        <f>K10*K12/1000</f>
        <v>1396.557</v>
      </c>
      <c r="L14" s="39">
        <f>L10*L12/1000</f>
        <v>1813.0740000000001</v>
      </c>
      <c r="O14" s="39">
        <f>O10*O12/1000</f>
        <v>1862.076</v>
      </c>
      <c r="P14" s="39">
        <f>P10*P12/1000</f>
        <v>2205.09</v>
      </c>
      <c r="Q14" s="39">
        <f>Q10*Q12/1000</f>
        <v>2597.1060000000002</v>
      </c>
      <c r="R14" s="39">
        <f>R10*R12/1000</f>
        <v>2646.1080000000002</v>
      </c>
      <c r="U14" s="39">
        <f>U10*U12/1000</f>
        <v>2891</v>
      </c>
      <c r="V14" s="39">
        <f>V10*V12/1000</f>
        <v>3062.5</v>
      </c>
      <c r="W14" s="39">
        <f>W10*W12/1000</f>
        <v>3356.5</v>
      </c>
      <c r="X14" s="39">
        <f>X10*X12/1000</f>
        <v>3895.5</v>
      </c>
      <c r="Y14" s="48"/>
      <c r="AA14" s="13">
        <f>AA10*AA12/1000</f>
        <v>4851</v>
      </c>
      <c r="AB14" s="13">
        <f>AB10*AB12/1000</f>
        <v>5610.5</v>
      </c>
      <c r="AC14" s="13">
        <f>AC10*AC12/1000</f>
        <v>6129.49</v>
      </c>
      <c r="AD14" s="13">
        <f>AD10*AD12/1000</f>
        <v>6761.1549999999997</v>
      </c>
      <c r="AE14" s="47"/>
      <c r="AF14" s="13"/>
      <c r="AG14" s="13">
        <f>AG10*AG12/1000</f>
        <v>9100.6550000000007</v>
      </c>
      <c r="AH14" s="13">
        <f>AH10*AH12/1000</f>
        <v>8572.4519999999993</v>
      </c>
      <c r="AI14" s="13">
        <f>AI10*AI12/1000</f>
        <v>10352.523999999999</v>
      </c>
      <c r="AJ14" s="13">
        <f>AJ10*AJ12/1000</f>
        <v>11781.266</v>
      </c>
      <c r="AK14" s="48"/>
      <c r="AL14" s="13"/>
      <c r="AM14" s="13">
        <f>AM10*AM12/1000</f>
        <v>10493.056</v>
      </c>
      <c r="AN14" s="13">
        <f>AN10*AN12/1000</f>
        <v>12934.44</v>
      </c>
      <c r="AO14" s="13">
        <f>AO10*AO12/1000</f>
        <v>13806.16</v>
      </c>
      <c r="AP14" s="13">
        <f>AP10*AP12/1000</f>
        <v>10814.04</v>
      </c>
      <c r="AQ14" s="48"/>
      <c r="AR14" s="13"/>
      <c r="AS14" s="57">
        <f>AS10*AS12/1000</f>
        <v>8016.18</v>
      </c>
      <c r="AT14" s="57">
        <f>AT10*AT12/1000</f>
        <v>9054.1200000000008</v>
      </c>
      <c r="AU14" s="57">
        <f>AU10*AU12/1000</f>
        <v>5791.8</v>
      </c>
      <c r="AV14" s="57">
        <f>AV10*AV12/1000</f>
        <v>2505.84</v>
      </c>
      <c r="AW14" s="64"/>
      <c r="AX14" s="13"/>
      <c r="AY14" s="57">
        <f>AY10*AY12/1000</f>
        <v>2293.08</v>
      </c>
      <c r="AZ14" s="57">
        <f>AZ10*AZ12/1000</f>
        <v>4225.6499999999996</v>
      </c>
      <c r="BA14" s="57">
        <f>BA10*BA12/1000</f>
        <v>7021.08</v>
      </c>
      <c r="BB14" s="57">
        <f>BB10*BB12/1000</f>
        <v>6879.24</v>
      </c>
      <c r="BC14" s="64"/>
      <c r="BE14" s="57">
        <f>BE10*BE12/1000</f>
        <v>7211.42</v>
      </c>
      <c r="BF14" s="57">
        <f>BF10*BF12/1000</f>
        <v>6483.1139999999996</v>
      </c>
      <c r="BG14" s="57">
        <f>BG10*BG12/1000</f>
        <v>6388.47</v>
      </c>
      <c r="BH14" s="57">
        <f>BH10*BH12/1000</f>
        <v>7027.317</v>
      </c>
      <c r="BI14" s="64"/>
      <c r="BK14" s="57">
        <f>BK10*BK12/1000</f>
        <v>7311.1111860000001</v>
      </c>
      <c r="BL14" s="57">
        <f>BL10*BL12/1000</f>
        <v>7784.3222660000001</v>
      </c>
      <c r="BM14" s="57">
        <f>BM10*BM12/1000</f>
        <v>4779.4319079999996</v>
      </c>
      <c r="BN14" s="57">
        <f>BN10*BN12/1000</f>
        <v>4519.165814</v>
      </c>
      <c r="BO14" s="64"/>
      <c r="BQ14" s="57">
        <f>BQ10*BQ12/1000</f>
        <v>6047.8860500000001</v>
      </c>
      <c r="BR14" s="57">
        <f>BR10*BR12/1000</f>
        <v>4524.09</v>
      </c>
      <c r="BS14" s="57">
        <f>BS10*BS12/1000</f>
        <v>4809.8220000000001</v>
      </c>
      <c r="BT14" s="57">
        <f>BT10*BT12/1000</f>
        <v>4857.4440000000004</v>
      </c>
      <c r="BU14" s="64"/>
      <c r="BW14" s="57">
        <f>BW10*BW12/1000</f>
        <v>5152.2479999999996</v>
      </c>
      <c r="BX14" s="57">
        <f>BX10*BX12/1000</f>
        <v>4961.424</v>
      </c>
      <c r="BY14" s="57">
        <f>BY10*BY12/1000</f>
        <v>6535.7219999999998</v>
      </c>
      <c r="BZ14" s="57">
        <f>BZ10*BZ12/1000</f>
        <v>6392.6040000000003</v>
      </c>
      <c r="CA14" s="64"/>
      <c r="CC14" s="57">
        <f>CC10*CC12/1000</f>
        <v>7491.098</v>
      </c>
      <c r="CD14" s="57">
        <f>CD10*CD12/1000</f>
        <v>8922.518</v>
      </c>
      <c r="CE14" s="57">
        <f>CE10*CE12/1000</f>
        <v>7753.5249999999996</v>
      </c>
      <c r="CF14" s="57">
        <f>CF10*CF12/1000</f>
        <v>7920.5240000000003</v>
      </c>
      <c r="CG14" s="64"/>
    </row>
    <row r="15" spans="1:85">
      <c r="A15" s="4" t="s">
        <v>217</v>
      </c>
      <c r="C15" s="13">
        <f>'Balance Sheet'!C22</f>
        <v>243</v>
      </c>
      <c r="D15" s="13">
        <f>'Balance Sheet'!D22</f>
        <v>243</v>
      </c>
      <c r="E15" s="13">
        <f>'Balance Sheet'!E22</f>
        <v>226</v>
      </c>
      <c r="F15" s="13">
        <f>'Balance Sheet'!F22</f>
        <v>222</v>
      </c>
      <c r="I15" s="13">
        <f>'Balance Sheet'!H22</f>
        <v>197</v>
      </c>
      <c r="J15" s="13">
        <f>'Balance Sheet'!I22</f>
        <v>189</v>
      </c>
      <c r="K15" s="13">
        <f>'Balance Sheet'!J22</f>
        <v>176</v>
      </c>
      <c r="L15" s="13">
        <f>'Balance Sheet'!K22</f>
        <v>135</v>
      </c>
      <c r="O15" s="13">
        <f>'Balance Sheet'!M22</f>
        <v>129</v>
      </c>
      <c r="P15" s="13">
        <f>'Balance Sheet'!N22</f>
        <v>129</v>
      </c>
      <c r="Q15" s="13">
        <f>'Balance Sheet'!O22</f>
        <v>136</v>
      </c>
      <c r="R15" s="13">
        <f>'Balance Sheet'!P22</f>
        <v>126</v>
      </c>
      <c r="U15" s="13">
        <f>'Balance Sheet'!R22</f>
        <v>148</v>
      </c>
      <c r="V15" s="13">
        <f>'Balance Sheet'!S22</f>
        <v>150</v>
      </c>
      <c r="W15" s="13">
        <f>'Balance Sheet'!T22</f>
        <v>147</v>
      </c>
      <c r="X15" s="13">
        <f>'Balance Sheet'!U22</f>
        <v>141</v>
      </c>
      <c r="Y15" s="47"/>
      <c r="AA15" s="13">
        <v>58</v>
      </c>
      <c r="AB15" s="13">
        <v>59</v>
      </c>
      <c r="AC15" s="13">
        <v>63</v>
      </c>
      <c r="AD15" s="13">
        <v>63</v>
      </c>
      <c r="AE15" s="47"/>
      <c r="AF15" s="13"/>
      <c r="AG15" s="13">
        <v>64</v>
      </c>
      <c r="AH15" s="13">
        <v>71</v>
      </c>
      <c r="AI15" s="13">
        <v>14</v>
      </c>
      <c r="AJ15" s="13">
        <v>19</v>
      </c>
      <c r="AK15" s="47"/>
      <c r="AL15" s="13"/>
      <c r="AM15" s="13">
        <v>20</v>
      </c>
      <c r="AN15" s="13">
        <v>20</v>
      </c>
      <c r="AO15" s="13">
        <v>29</v>
      </c>
      <c r="AP15" s="13">
        <v>37</v>
      </c>
      <c r="AQ15" s="47"/>
      <c r="AR15" s="13"/>
      <c r="AS15" s="57">
        <v>39</v>
      </c>
      <c r="AT15" s="57">
        <v>42</v>
      </c>
      <c r="AU15" s="57">
        <v>46</v>
      </c>
      <c r="AV15" s="57">
        <v>38</v>
      </c>
      <c r="AW15" s="54"/>
      <c r="AX15" s="13"/>
      <c r="AY15" s="57">
        <v>32</v>
      </c>
      <c r="AZ15" s="57">
        <v>34.4</v>
      </c>
      <c r="BA15" s="57">
        <v>41</v>
      </c>
      <c r="BB15" s="57">
        <v>21</v>
      </c>
      <c r="BC15" s="54"/>
      <c r="BE15" s="57">
        <v>22</v>
      </c>
      <c r="BF15" s="57">
        <v>23</v>
      </c>
      <c r="BG15" s="57">
        <v>7</v>
      </c>
      <c r="BH15" s="57">
        <v>7</v>
      </c>
      <c r="BI15" s="54"/>
      <c r="BK15" s="57">
        <v>5</v>
      </c>
      <c r="BL15" s="57">
        <v>6</v>
      </c>
      <c r="BM15" s="57">
        <v>6</v>
      </c>
      <c r="BN15" s="57">
        <v>7</v>
      </c>
      <c r="BO15" s="54"/>
      <c r="BQ15" s="57">
        <v>6</v>
      </c>
      <c r="BR15" s="57">
        <v>6</v>
      </c>
      <c r="BS15" s="57">
        <v>7</v>
      </c>
      <c r="BT15" s="57">
        <v>7</v>
      </c>
      <c r="BU15" s="54"/>
      <c r="BW15" s="57">
        <v>8</v>
      </c>
      <c r="BX15" s="57">
        <v>7</v>
      </c>
      <c r="BY15" s="57">
        <v>7</v>
      </c>
      <c r="BZ15" s="57">
        <v>7</v>
      </c>
      <c r="CA15" s="54"/>
      <c r="CC15" s="57">
        <v>6</v>
      </c>
      <c r="CD15" s="57">
        <v>6</v>
      </c>
      <c r="CE15" s="57">
        <v>6</v>
      </c>
      <c r="CF15" s="57">
        <v>6</v>
      </c>
      <c r="CG15" s="54"/>
    </row>
    <row r="16" spans="1:85">
      <c r="A16" s="4" t="s">
        <v>218</v>
      </c>
      <c r="C16" s="13">
        <f>-' Financial Highlights'!C31</f>
        <v>-2277</v>
      </c>
      <c r="D16" s="13">
        <f>-' Financial Highlights'!D31</f>
        <v>221</v>
      </c>
      <c r="E16" s="13">
        <f>-' Financial Highlights'!E31</f>
        <v>162</v>
      </c>
      <c r="F16" s="13">
        <f>-' Financial Highlights'!F31</f>
        <v>-71</v>
      </c>
      <c r="I16" s="13">
        <f>-' Financial Highlights'!I31</f>
        <v>-7</v>
      </c>
      <c r="J16" s="13">
        <f>-' Financial Highlights'!J31</f>
        <v>30</v>
      </c>
      <c r="K16" s="13">
        <f>-' Financial Highlights'!K31</f>
        <v>-109</v>
      </c>
      <c r="L16" s="13">
        <f>-' Financial Highlights'!L31</f>
        <v>-407</v>
      </c>
      <c r="O16" s="13">
        <f>-' Financial Highlights'!O31</f>
        <v>-321</v>
      </c>
      <c r="P16" s="13">
        <f>-' Financial Highlights'!P31</f>
        <v>-157</v>
      </c>
      <c r="Q16" s="13">
        <f>-' Financial Highlights'!Q31</f>
        <v>-236</v>
      </c>
      <c r="R16" s="13">
        <f>-' Financial Highlights'!R31</f>
        <v>-409</v>
      </c>
      <c r="U16" s="13">
        <f>-' Financial Highlights'!U31</f>
        <v>-217</v>
      </c>
      <c r="V16" s="13">
        <f>-' Financial Highlights'!V31</f>
        <v>932</v>
      </c>
      <c r="W16" s="13">
        <f>-' Financial Highlights'!W31</f>
        <v>638</v>
      </c>
      <c r="X16" s="13">
        <f>-' Financial Highlights'!X31</f>
        <v>333</v>
      </c>
      <c r="Y16" s="47"/>
      <c r="AA16" s="13">
        <f>-' Financial Highlights'!AG31</f>
        <v>337</v>
      </c>
      <c r="AB16" s="13">
        <v>559</v>
      </c>
      <c r="AC16" s="13">
        <v>858</v>
      </c>
      <c r="AD16" s="13">
        <v>787</v>
      </c>
      <c r="AE16" s="47"/>
      <c r="AF16" s="13"/>
      <c r="AG16" s="13">
        <f>-' Financial Highlights'!AM31</f>
        <v>1176</v>
      </c>
      <c r="AH16" s="13">
        <v>1221</v>
      </c>
      <c r="AI16" s="13">
        <v>1168</v>
      </c>
      <c r="AJ16" s="13">
        <v>1023</v>
      </c>
      <c r="AK16" s="47"/>
      <c r="AL16" s="13"/>
      <c r="AM16" s="13">
        <v>1987</v>
      </c>
      <c r="AN16" s="13">
        <v>2300</v>
      </c>
      <c r="AO16" s="13">
        <v>2306</v>
      </c>
      <c r="AP16" s="13">
        <v>1995</v>
      </c>
      <c r="AQ16" s="47"/>
      <c r="AR16" s="13"/>
      <c r="AS16" s="57">
        <v>2215</v>
      </c>
      <c r="AT16" s="57">
        <v>2825</v>
      </c>
      <c r="AU16" s="57">
        <v>2821</v>
      </c>
      <c r="AV16" s="57">
        <v>2260</v>
      </c>
      <c r="AW16" s="54"/>
      <c r="AX16" s="13"/>
      <c r="AY16" s="57">
        <v>2283.3000000000002</v>
      </c>
      <c r="AZ16" s="57">
        <v>2587.3000000000002</v>
      </c>
      <c r="BA16" s="57">
        <v>2681</v>
      </c>
      <c r="BB16" s="57">
        <v>2725</v>
      </c>
      <c r="BC16" s="54"/>
      <c r="BE16" s="57">
        <v>3394</v>
      </c>
      <c r="BF16" s="57">
        <v>3790</v>
      </c>
      <c r="BG16" s="57">
        <v>4144</v>
      </c>
      <c r="BH16" s="57">
        <v>4105</v>
      </c>
      <c r="BI16" s="54"/>
      <c r="BK16" s="57">
        <v>4821</v>
      </c>
      <c r="BL16" s="57">
        <v>4940</v>
      </c>
      <c r="BM16" s="57">
        <v>4771</v>
      </c>
      <c r="BN16" s="57">
        <v>4429</v>
      </c>
      <c r="BO16" s="54"/>
      <c r="BQ16" s="57">
        <v>4491</v>
      </c>
      <c r="BR16" s="57">
        <f>-' Financial Highlights'!BX31</f>
        <v>2692</v>
      </c>
      <c r="BS16" s="57">
        <f>-' Financial Highlights'!BY31</f>
        <v>2751</v>
      </c>
      <c r="BT16" s="57">
        <f>-' Financial Highlights'!BZ31</f>
        <v>1909</v>
      </c>
      <c r="BU16" s="54"/>
      <c r="BW16" s="57">
        <v>2776</v>
      </c>
      <c r="BX16" s="57">
        <v>2839</v>
      </c>
      <c r="BY16" s="57">
        <v>2753</v>
      </c>
      <c r="BZ16" s="57">
        <v>2111</v>
      </c>
      <c r="CA16" s="54"/>
      <c r="CC16" s="57">
        <v>1999</v>
      </c>
      <c r="CD16" s="57">
        <v>2008</v>
      </c>
      <c r="CE16" s="57">
        <v>2119</v>
      </c>
      <c r="CF16" s="57">
        <v>1135</v>
      </c>
      <c r="CG16" s="54"/>
    </row>
    <row r="17" spans="1:85" s="11" customFormat="1" ht="13.5" thickBot="1">
      <c r="A17" s="11" t="s">
        <v>214</v>
      </c>
      <c r="B17" s="6"/>
      <c r="C17" s="40">
        <f>SUM(C14:C16)</f>
        <v>4124.1239999999998</v>
      </c>
      <c r="D17" s="40">
        <f>SUM(D14:D16)</f>
        <v>3370.337</v>
      </c>
      <c r="E17" s="40">
        <f>SUM(E14:E16)</f>
        <v>2903.569</v>
      </c>
      <c r="F17" s="40">
        <f>SUM(F14:F16)</f>
        <v>2710.165</v>
      </c>
      <c r="H17" s="3"/>
      <c r="I17" s="40">
        <f>SUM(I14:I16)</f>
        <v>2517.5949999999998</v>
      </c>
      <c r="J17" s="40">
        <f>SUM(J14:J16)</f>
        <v>2301.585</v>
      </c>
      <c r="K17" s="40">
        <f>SUM(K14:K16)</f>
        <v>1463.557</v>
      </c>
      <c r="L17" s="40">
        <f>SUM(L14:L16)</f>
        <v>1541.0740000000001</v>
      </c>
      <c r="O17" s="40">
        <f>SUM(O14:O16)</f>
        <v>1670.076</v>
      </c>
      <c r="P17" s="40">
        <f>SUM(P14:P16)</f>
        <v>2177.09</v>
      </c>
      <c r="Q17" s="40">
        <f>SUM(Q14:Q16)</f>
        <v>2497.1060000000002</v>
      </c>
      <c r="R17" s="40">
        <f>SUM(R14:R16)</f>
        <v>2363.1080000000002</v>
      </c>
      <c r="U17" s="40">
        <f>SUM(U14:U16)</f>
        <v>2822</v>
      </c>
      <c r="V17" s="40">
        <f>SUM(V14:V16)</f>
        <v>4144.5</v>
      </c>
      <c r="W17" s="40">
        <f>SUM(W14:W16)</f>
        <v>4141.5</v>
      </c>
      <c r="X17" s="40">
        <f>SUM(X14:X16)</f>
        <v>4369.5</v>
      </c>
      <c r="Y17" s="49"/>
      <c r="AA17" s="33">
        <f>SUM(AA14:AA16)</f>
        <v>5246</v>
      </c>
      <c r="AB17" s="33">
        <f>SUM(AB14:AB16)</f>
        <v>6228.5</v>
      </c>
      <c r="AC17" s="33">
        <f>SUM(AC14:AC16)</f>
        <v>7050.49</v>
      </c>
      <c r="AD17" s="33">
        <f>SUM(AD14:AD16)</f>
        <v>7611.1549999999997</v>
      </c>
      <c r="AE17" s="46"/>
      <c r="AF17" s="18"/>
      <c r="AG17" s="33">
        <f>SUM(AG14:AG16)</f>
        <v>10340.655000000001</v>
      </c>
      <c r="AH17" s="33">
        <f>SUM(AH14:AH16)</f>
        <v>9864.4519999999993</v>
      </c>
      <c r="AI17" s="33">
        <f>SUM(AI14:AI16)</f>
        <v>11534.523999999999</v>
      </c>
      <c r="AJ17" s="33">
        <f>SUM(AJ14:AJ16)</f>
        <v>12823.266</v>
      </c>
      <c r="AK17" s="49"/>
      <c r="AL17" s="18"/>
      <c r="AM17" s="33">
        <f>SUM(AM14:AM16)</f>
        <v>12500.056</v>
      </c>
      <c r="AN17" s="33">
        <f>SUM(AN14:AN16)</f>
        <v>15254.44</v>
      </c>
      <c r="AO17" s="33">
        <f>SUM(AO14:AO16)</f>
        <v>16141.16</v>
      </c>
      <c r="AP17" s="33">
        <f>SUM(AP14:AP16)</f>
        <v>12846.04</v>
      </c>
      <c r="AQ17" s="49"/>
      <c r="AR17" s="18"/>
      <c r="AS17" s="65">
        <f>SUM(AS14:AS16)</f>
        <v>10270.18</v>
      </c>
      <c r="AT17" s="65">
        <f>SUM(AT14:AT16)</f>
        <v>11921.12</v>
      </c>
      <c r="AU17" s="65">
        <f>SUM(AU14:AU16)</f>
        <v>8658.7999999999993</v>
      </c>
      <c r="AV17" s="65">
        <f>SUM(AV14:AV16)</f>
        <v>4803.84</v>
      </c>
      <c r="AW17" s="66"/>
      <c r="AX17" s="18"/>
      <c r="AY17" s="65">
        <f>SUM(AY14:AY16)</f>
        <v>4608.38</v>
      </c>
      <c r="AZ17" s="65">
        <f>SUM(AZ14:AZ16)</f>
        <v>6847.3499999999995</v>
      </c>
      <c r="BA17" s="65">
        <f>SUM(BA14:BA16)</f>
        <v>9743.08</v>
      </c>
      <c r="BB17" s="65">
        <f>SUM(BB14:BB16)</f>
        <v>9625.24</v>
      </c>
      <c r="BC17" s="66"/>
      <c r="BE17" s="65">
        <f>SUM(BE14:BE16)</f>
        <v>10627.42</v>
      </c>
      <c r="BF17" s="65">
        <f>SUM(BF14:BF16)</f>
        <v>10296.114</v>
      </c>
      <c r="BG17" s="65">
        <f>SUM(BG14:BG16)</f>
        <v>10539.470000000001</v>
      </c>
      <c r="BH17" s="65">
        <f>SUM(BH14:BH16)</f>
        <v>11139.316999999999</v>
      </c>
      <c r="BI17" s="66"/>
      <c r="BK17" s="65">
        <f>SUM(BK14:BK16)</f>
        <v>12137.111186</v>
      </c>
      <c r="BL17" s="65">
        <f>SUM(BL14:BL16)</f>
        <v>12730.322265999999</v>
      </c>
      <c r="BM17" s="65">
        <f>SUM(BM14:BM16)</f>
        <v>9556.4319079999987</v>
      </c>
      <c r="BN17" s="65">
        <f>SUM(BN14:BN16)</f>
        <v>8955.165814</v>
      </c>
      <c r="BO17" s="66"/>
      <c r="BQ17" s="65">
        <f>SUM(BQ14:BQ16)</f>
        <v>10544.886050000001</v>
      </c>
      <c r="BR17" s="65">
        <f>SUM(BR14:BR16)</f>
        <v>7222.09</v>
      </c>
      <c r="BS17" s="65">
        <f>SUM(BS14:BS16)</f>
        <v>7567.8220000000001</v>
      </c>
      <c r="BT17" s="65">
        <f>SUM(BT14:BT16)</f>
        <v>6773.4440000000004</v>
      </c>
      <c r="BU17" s="66"/>
      <c r="BW17" s="65">
        <f>SUM(BW14:BW16)</f>
        <v>7936.2479999999996</v>
      </c>
      <c r="BX17" s="65">
        <f>SUM(BX14:BX16)</f>
        <v>7807.424</v>
      </c>
      <c r="BY17" s="65">
        <f>SUM(BY14:BY16)</f>
        <v>9295.7219999999998</v>
      </c>
      <c r="BZ17" s="65">
        <f>SUM(BZ14:BZ16)</f>
        <v>8510.6039999999994</v>
      </c>
      <c r="CA17" s="66"/>
      <c r="CC17" s="65">
        <f>SUM(CC14:CC16)</f>
        <v>9496.098</v>
      </c>
      <c r="CD17" s="65">
        <f>SUM(CD14:CD16)</f>
        <v>10936.518</v>
      </c>
      <c r="CE17" s="65">
        <f>SUM(CE14:CE16)</f>
        <v>9878.5249999999996</v>
      </c>
      <c r="CF17" s="65">
        <f>SUM(CF14:CF16)</f>
        <v>9061.5240000000013</v>
      </c>
      <c r="CG17" s="66"/>
    </row>
    <row r="18" spans="1:85" ht="13.5" thickTop="1">
      <c r="Y18" s="24"/>
      <c r="AA18" s="13"/>
      <c r="AB18" s="13"/>
      <c r="AC18" s="13"/>
      <c r="AD18" s="13"/>
      <c r="AE18" s="47"/>
      <c r="AF18" s="13"/>
      <c r="AG18" s="13"/>
      <c r="AH18" s="13"/>
      <c r="AI18" s="13"/>
      <c r="AJ18" s="13"/>
      <c r="AK18" s="24"/>
      <c r="AL18" s="13"/>
      <c r="AM18" s="13"/>
      <c r="AN18" s="13"/>
      <c r="AO18" s="13"/>
      <c r="AP18" s="13"/>
      <c r="AQ18" s="24"/>
      <c r="AR18" s="13"/>
      <c r="AS18" s="57"/>
      <c r="AT18" s="57"/>
      <c r="AU18" s="57"/>
      <c r="AV18" s="57"/>
      <c r="AW18" s="63"/>
      <c r="AX18" s="13"/>
      <c r="AY18" s="57"/>
      <c r="AZ18" s="57"/>
      <c r="BA18" s="57"/>
      <c r="BB18" s="57"/>
      <c r="BC18" s="63"/>
      <c r="BE18" s="57"/>
      <c r="BF18" s="57"/>
      <c r="BG18" s="57"/>
      <c r="BH18" s="57"/>
      <c r="BI18" s="63"/>
      <c r="BK18" s="57"/>
      <c r="BL18" s="57"/>
      <c r="BM18" s="57"/>
      <c r="BN18" s="57"/>
      <c r="BO18" s="63"/>
      <c r="BQ18" s="57"/>
      <c r="BR18" s="57"/>
      <c r="BS18" s="57"/>
      <c r="BT18" s="57"/>
      <c r="BU18" s="63"/>
      <c r="BW18" s="57"/>
      <c r="BX18" s="57"/>
      <c r="BY18" s="57"/>
      <c r="BZ18" s="57"/>
      <c r="CA18" s="63"/>
      <c r="CC18" s="57"/>
      <c r="CD18" s="57"/>
      <c r="CE18" s="57"/>
      <c r="CF18" s="57"/>
      <c r="CG18" s="63"/>
    </row>
    <row r="19" spans="1:85">
      <c r="A19" s="4" t="s">
        <v>53</v>
      </c>
      <c r="F19" s="13">
        <f>'Segment Data'!G39</f>
        <v>315</v>
      </c>
      <c r="I19" s="13">
        <f>'Segment Data'!D39+'Segment Data'!E39+'Segment Data'!F39+'Segment Data'!I39</f>
        <v>344</v>
      </c>
      <c r="J19" s="13">
        <f>'Segment Data'!E39+'Segment Data'!F39+'Segment Data'!I39+'Segment Data'!J39</f>
        <v>261</v>
      </c>
      <c r="K19" s="13">
        <f>'Segment Data'!F39+'Segment Data'!I39+'Segment Data'!J39+'Segment Data'!K39</f>
        <v>303</v>
      </c>
      <c r="L19" s="13">
        <f>'Segment Data'!M39</f>
        <v>168</v>
      </c>
      <c r="O19" s="13">
        <f>'Segment Data'!J39+'Segment Data'!K39+'Segment Data'!L39+'Segment Data'!O39</f>
        <v>168</v>
      </c>
      <c r="P19" s="13">
        <f>'Segment Data'!K39+'Segment Data'!L39+'Segment Data'!O39+'Segment Data'!P39</f>
        <v>183</v>
      </c>
      <c r="Q19" s="13">
        <f>'Segment Data'!L39+'Segment Data'!O39+'Segment Data'!P39+'Segment Data'!Q39</f>
        <v>196</v>
      </c>
      <c r="R19" s="13">
        <f>'Segment Data'!S39</f>
        <v>386</v>
      </c>
      <c r="U19" s="13">
        <f>'Segment Data'!P39+'Segment Data'!Q39+'Segment Data'!R39+'Segment Data'!U39</f>
        <v>391</v>
      </c>
      <c r="V19" s="13">
        <f>'Segment Data'!Q39+'Segment Data'!R39+'Segment Data'!U39+'Segment Data'!V39</f>
        <v>439</v>
      </c>
      <c r="W19" s="13">
        <f>'Segment Data'!R39+'Segment Data'!U39+'Segment Data'!V39+'Segment Data'!W39</f>
        <v>602</v>
      </c>
      <c r="X19" s="13">
        <f>'Segment Data'!Y39</f>
        <v>616</v>
      </c>
      <c r="Y19" s="47"/>
      <c r="AA19" s="13">
        <f>'Segment Data'!V39+'Segment Data'!W39+'Segment Data'!X39+'Segment Data'!AG39</f>
        <v>670</v>
      </c>
      <c r="AB19" s="13">
        <f>'Segment Data'!AH39+'Segment Data'!AG39+'Segment Data'!X39+'Segment Data'!W39</f>
        <v>695</v>
      </c>
      <c r="AC19" s="13">
        <f>'Segment Data'!AI39+'Segment Data'!AH39+'Segment Data'!AG39+'Segment Data'!AD39</f>
        <v>628</v>
      </c>
      <c r="AD19" s="13">
        <f>'Segment Data'!AK39</f>
        <v>713</v>
      </c>
      <c r="AE19" s="47"/>
      <c r="AF19" s="13"/>
      <c r="AG19" s="13">
        <f>'Segment Data'!AH39+'Segment Data'!AI39+'Segment Data'!AJ39+'Segment Data'!AM39</f>
        <v>764</v>
      </c>
      <c r="AH19" s="13">
        <f>'Segment Data'!AN39+'Segment Data'!AM39+'Segment Data'!AJ39+'Segment Data'!AI39</f>
        <v>963</v>
      </c>
      <c r="AI19" s="13">
        <f>'Segment Data'!AO39+'Segment Data'!AN39+'Segment Data'!AM39+'Segment Data'!AJ39</f>
        <v>1028</v>
      </c>
      <c r="AJ19" s="13">
        <f>'Segment Data'!AQ39</f>
        <v>1022</v>
      </c>
      <c r="AK19" s="47"/>
      <c r="AL19" s="13"/>
      <c r="AM19" s="13">
        <f>'Segment Data'!AN39+'Segment Data'!AO39+'Segment Data'!AP39+'Segment Data'!AS39</f>
        <v>1102</v>
      </c>
      <c r="AN19" s="13">
        <f>'Segment Data'!AT39+'Segment Data'!AS39+'Segment Data'!AP39+'Segment Data'!AO39</f>
        <v>1126</v>
      </c>
      <c r="AO19" s="13">
        <f>'Segment Data'!AU39+'Segment Data'!AT39+'Segment Data'!AS39+'Segment Data'!AP39</f>
        <v>1204</v>
      </c>
      <c r="AP19" s="13">
        <f>'Segment Data'!AW39</f>
        <v>1433</v>
      </c>
      <c r="AQ19" s="47"/>
      <c r="AR19" s="13"/>
      <c r="AS19" s="13">
        <f>'Segment Data'!AT39+'Segment Data'!AU39+'Segment Data'!AV39+'Segment Data'!AY39</f>
        <v>1482</v>
      </c>
      <c r="AT19" s="13">
        <f>'Segment Data'!AZ39+'Segment Data'!AY39+'Segment Data'!AV39+'Segment Data'!AU39</f>
        <v>1546</v>
      </c>
      <c r="AU19" s="13">
        <f>'Segment Data'!BA39+'Segment Data'!AZ39+'Segment Data'!AY39+'Segment Data'!AV39</f>
        <v>1542</v>
      </c>
      <c r="AV19" s="13">
        <f>'Segment Data'!BC39</f>
        <v>1218</v>
      </c>
      <c r="AW19" s="54"/>
      <c r="AX19" s="13"/>
      <c r="AY19" s="13">
        <f>'Segment Data'!AZ39+'Segment Data'!BA39+'Segment Data'!BB39+'Segment Data'!BE39</f>
        <v>1040</v>
      </c>
      <c r="AZ19" s="13">
        <f>'Segment Data'!BF39+'Segment Data'!BE39+'Segment Data'!BB39+'Segment Data'!BA39</f>
        <v>816</v>
      </c>
      <c r="BA19" s="13">
        <f>'Segment Data'!BG39+'Segment Data'!BF39+'Segment Data'!BE39+'Segment Data'!BB39</f>
        <v>712</v>
      </c>
      <c r="BB19" s="13">
        <f>'Segment Data'!BI39</f>
        <v>783</v>
      </c>
      <c r="BC19" s="54"/>
      <c r="BE19" s="13">
        <f>'Segment Data'!BF39+'Segment Data'!BG39+'Segment Data'!BH39+'Segment Data'!BK39</f>
        <v>869</v>
      </c>
      <c r="BF19" s="13">
        <f>+'Segment Data'!BL39+'Segment Data'!BK39+'Segment Data'!BH39+'Segment Data'!BG39</f>
        <v>890</v>
      </c>
      <c r="BG19" s="13">
        <f>+'Segment Data'!BH39+'Segment Data'!BK39+'Segment Data'!BL39+'Segment Data'!BM39</f>
        <v>915</v>
      </c>
      <c r="BH19" s="13">
        <f>'Segment Data'!BO39</f>
        <v>899</v>
      </c>
      <c r="BI19" s="54"/>
      <c r="BK19" s="13">
        <f>+'Segment Data'!BQ39+'Segment Data'!BN39+'Segment Data'!BM39+'Segment Data'!BL39</f>
        <v>902</v>
      </c>
      <c r="BL19" s="13">
        <f>+'Segment Data'!BR39+'Segment Data'!BQ39+'Segment Data'!BN39+'Segment Data'!BM39</f>
        <v>854</v>
      </c>
      <c r="BM19" s="13">
        <f>+'Segment Data'!BN39+'Segment Data'!BQ39+'Segment Data'!BR39+'Segment Data'!BS39</f>
        <v>916</v>
      </c>
      <c r="BN19" s="13">
        <f>'Segment Data'!BU39</f>
        <v>1003</v>
      </c>
      <c r="BO19" s="54"/>
      <c r="BQ19" s="57">
        <f>+'Segment Data'!BW39+'Segment Data'!BT39+'Segment Data'!BS39+'Segment Data'!BR39</f>
        <v>1015</v>
      </c>
      <c r="BR19" s="13">
        <f>+'Segment Data'!BX39+'Segment Data'!BW39+'Segment Data'!BT39+'Segment Data'!BS39</f>
        <v>1034</v>
      </c>
      <c r="BS19" s="13">
        <f>+'Segment Data'!BY39+'Segment Data'!BX39+'Segment Data'!BW39+'Segment Data'!BT39</f>
        <v>961</v>
      </c>
      <c r="BT19" s="13">
        <f>'Segment Data'!CA39</f>
        <v>1009</v>
      </c>
      <c r="BU19" s="54"/>
      <c r="BW19" s="57">
        <f>+'Segment Data'!CC39+'Segment Data'!BZ39+'Segment Data'!BY39+'Segment Data'!BX39</f>
        <v>998</v>
      </c>
      <c r="BX19" s="13">
        <f>+'Segment Data'!CD39+'Segment Data'!CC39+'Segment Data'!BZ39+'Segment Data'!BY39</f>
        <v>1048</v>
      </c>
      <c r="BY19" s="13">
        <f>+'Segment Data'!CE39+'Segment Data'!CD39+'Segment Data'!CC39+'Segment Data'!BZ39</f>
        <v>1050</v>
      </c>
      <c r="BZ19" s="13">
        <f>'Segment Data'!CG39</f>
        <v>1103</v>
      </c>
      <c r="CA19" s="54"/>
      <c r="CC19" s="57">
        <f>+'Segment Data'!CI39+'Segment Data'!CF39+'Segment Data'!CE39+'Segment Data'!CD39</f>
        <v>1182</v>
      </c>
      <c r="CD19" s="57">
        <f>+'Segment Data'!CJ39+'Segment Data'!CI39+'Segment Data'!CF39+'Segment Data'!CE39</f>
        <v>1125</v>
      </c>
      <c r="CE19" s="57">
        <f>+'Segment Data'!CF39+'Segment Data'!CI39+'Segment Data'!CJ39+'Segment Data'!CK39</f>
        <v>1110</v>
      </c>
      <c r="CF19" s="57">
        <f>+'Segment Data'!CI39+'Segment Data'!CJ39+'Segment Data'!CK39+'Segment Data'!CL39</f>
        <v>1061</v>
      </c>
      <c r="CG19" s="54"/>
    </row>
    <row r="20" spans="1:85">
      <c r="A20" s="23" t="s">
        <v>155</v>
      </c>
      <c r="Y20" s="24"/>
      <c r="AA20" s="13"/>
      <c r="AB20" s="13"/>
      <c r="AC20" s="13"/>
      <c r="AD20" s="13"/>
      <c r="AE20" s="47"/>
      <c r="AF20" s="13"/>
      <c r="AG20" s="13"/>
      <c r="AH20" s="13"/>
      <c r="AI20" s="13"/>
      <c r="AJ20" s="13"/>
      <c r="AK20" s="24"/>
      <c r="AL20" s="13"/>
      <c r="AM20" s="13"/>
      <c r="AN20" s="13"/>
      <c r="AO20" s="13"/>
      <c r="AP20" s="13"/>
      <c r="AQ20" s="24"/>
      <c r="AR20" s="13"/>
      <c r="AS20" s="57"/>
      <c r="AT20" s="57"/>
      <c r="AU20" s="57"/>
      <c r="AV20" s="57"/>
      <c r="AW20" s="63"/>
      <c r="AX20" s="13"/>
      <c r="AY20" s="57"/>
      <c r="AZ20" s="57"/>
      <c r="BA20" s="57"/>
      <c r="BB20" s="57"/>
      <c r="BC20" s="63"/>
      <c r="BE20" s="57"/>
      <c r="BF20" s="57"/>
      <c r="BG20" s="57"/>
      <c r="BH20" s="57"/>
      <c r="BI20" s="63"/>
      <c r="BK20" s="57"/>
      <c r="BL20" s="57"/>
      <c r="BM20" s="57"/>
      <c r="BN20" s="57"/>
      <c r="BO20" s="63"/>
      <c r="BQ20" s="57"/>
      <c r="BR20" s="57"/>
      <c r="BS20" s="57"/>
      <c r="BT20" s="57"/>
      <c r="BU20" s="63"/>
      <c r="BW20" s="57"/>
      <c r="BX20" s="57"/>
      <c r="BY20" s="57"/>
      <c r="BZ20" s="57"/>
      <c r="CA20" s="63"/>
      <c r="CC20" s="57"/>
      <c r="CD20" s="57"/>
      <c r="CE20" s="57"/>
      <c r="CF20" s="57"/>
      <c r="CG20" s="63"/>
    </row>
    <row r="21" spans="1:85">
      <c r="A21" s="4" t="s">
        <v>54</v>
      </c>
      <c r="F21" s="4">
        <v>-90</v>
      </c>
      <c r="I21" s="4">
        <v>-90</v>
      </c>
      <c r="J21" s="4">
        <v>-15</v>
      </c>
      <c r="K21" s="4">
        <v>-15</v>
      </c>
      <c r="Y21" s="24"/>
      <c r="AA21" s="13"/>
      <c r="AB21" s="13"/>
      <c r="AC21" s="13"/>
      <c r="AD21" s="13"/>
      <c r="AE21" s="47"/>
      <c r="AF21" s="13"/>
      <c r="AG21" s="13"/>
      <c r="AH21" s="13"/>
      <c r="AI21" s="13"/>
      <c r="AJ21" s="13"/>
      <c r="AK21" s="24"/>
      <c r="AL21" s="13"/>
      <c r="AM21" s="13"/>
      <c r="AN21" s="13"/>
      <c r="AO21" s="13"/>
      <c r="AP21" s="13"/>
      <c r="AQ21" s="24"/>
      <c r="AR21" s="13"/>
      <c r="AS21" s="57"/>
      <c r="AT21" s="57"/>
      <c r="AU21" s="57"/>
      <c r="AV21" s="57"/>
      <c r="AW21" s="63"/>
      <c r="AX21" s="13"/>
      <c r="AY21" s="57"/>
      <c r="AZ21" s="57"/>
      <c r="BA21" s="57"/>
      <c r="BB21" s="57"/>
      <c r="BC21" s="63"/>
      <c r="BE21" s="57"/>
      <c r="BF21" s="57"/>
      <c r="BG21" s="57"/>
      <c r="BH21" s="57"/>
      <c r="BI21" s="63"/>
      <c r="BK21" s="57"/>
      <c r="BL21" s="57"/>
      <c r="BM21" s="57"/>
      <c r="BN21" s="57"/>
      <c r="BO21" s="63"/>
      <c r="BQ21" s="57"/>
      <c r="BR21" s="57"/>
      <c r="BS21" s="57"/>
      <c r="BT21" s="57"/>
      <c r="BU21" s="63"/>
      <c r="BW21" s="57"/>
      <c r="BX21" s="57"/>
      <c r="BY21" s="57"/>
      <c r="BZ21" s="57"/>
      <c r="CA21" s="63"/>
      <c r="CC21" s="57"/>
      <c r="CD21" s="57"/>
      <c r="CE21" s="57"/>
      <c r="CF21" s="57"/>
      <c r="CG21" s="63"/>
    </row>
    <row r="22" spans="1:85">
      <c r="A22" s="4" t="s">
        <v>55</v>
      </c>
      <c r="I22" s="4">
        <v>-60</v>
      </c>
      <c r="J22" s="4">
        <v>-71</v>
      </c>
      <c r="K22" s="4">
        <v>-110</v>
      </c>
      <c r="L22" s="4">
        <v>-125</v>
      </c>
      <c r="O22" s="4">
        <v>-65</v>
      </c>
      <c r="P22" s="4">
        <v>-54</v>
      </c>
      <c r="Q22" s="4">
        <v>-15</v>
      </c>
      <c r="W22" s="4">
        <v>-138</v>
      </c>
      <c r="X22" s="4">
        <v>-186</v>
      </c>
      <c r="Y22" s="24"/>
      <c r="AA22" s="13">
        <v>-191</v>
      </c>
      <c r="AB22" s="13">
        <v>-191</v>
      </c>
      <c r="AC22" s="13">
        <v>-53</v>
      </c>
      <c r="AD22" s="13">
        <v>-39</v>
      </c>
      <c r="AE22" s="47"/>
      <c r="AF22" s="13"/>
      <c r="AG22" s="13">
        <v>-39</v>
      </c>
      <c r="AH22" s="13">
        <f>-109-25</f>
        <v>-134</v>
      </c>
      <c r="AI22" s="13">
        <f>-113-25</f>
        <v>-138</v>
      </c>
      <c r="AJ22" s="13">
        <v>-108</v>
      </c>
      <c r="AK22" s="24"/>
      <c r="AL22" s="13"/>
      <c r="AM22" s="13">
        <v>-108</v>
      </c>
      <c r="AN22" s="13">
        <v>0</v>
      </c>
      <c r="AO22" s="13">
        <v>0</v>
      </c>
      <c r="AP22" s="13">
        <v>-70</v>
      </c>
      <c r="AQ22" s="24"/>
      <c r="AR22" s="13"/>
      <c r="AS22" s="57">
        <v>-70</v>
      </c>
      <c r="AT22" s="57">
        <v>-70</v>
      </c>
      <c r="AU22" s="57">
        <v>-70</v>
      </c>
      <c r="AV22" s="57"/>
      <c r="AW22" s="63"/>
      <c r="AX22" s="13"/>
      <c r="AY22" s="57"/>
      <c r="AZ22" s="57"/>
      <c r="BA22" s="57"/>
      <c r="BB22" s="57"/>
      <c r="BC22" s="63"/>
      <c r="BE22" s="57"/>
      <c r="BF22" s="57"/>
      <c r="BG22" s="57"/>
      <c r="BH22" s="57"/>
      <c r="BI22" s="63"/>
      <c r="BK22" s="57"/>
      <c r="BL22" s="57"/>
      <c r="BM22" s="57"/>
      <c r="BN22" s="57"/>
      <c r="BO22" s="63"/>
      <c r="BQ22" s="57"/>
      <c r="BR22" s="57"/>
      <c r="BS22" s="57"/>
      <c r="BT22" s="57"/>
      <c r="BU22" s="63"/>
      <c r="BW22" s="57"/>
      <c r="BX22" s="57"/>
      <c r="BY22" s="57"/>
      <c r="BZ22" s="57"/>
      <c r="CA22" s="63"/>
      <c r="CC22" s="57"/>
      <c r="CD22" s="57"/>
      <c r="CE22" s="57"/>
      <c r="CF22" s="57"/>
      <c r="CG22" s="63"/>
    </row>
    <row r="23" spans="1:85">
      <c r="A23" s="4" t="s">
        <v>56</v>
      </c>
      <c r="L23" s="4">
        <v>121</v>
      </c>
      <c r="O23" s="4">
        <v>121</v>
      </c>
      <c r="P23" s="4">
        <v>121</v>
      </c>
      <c r="Q23" s="4">
        <v>121</v>
      </c>
      <c r="X23" s="4">
        <v>24</v>
      </c>
      <c r="Y23" s="24"/>
      <c r="AA23" s="13">
        <v>24</v>
      </c>
      <c r="AB23" s="13">
        <v>59</v>
      </c>
      <c r="AC23" s="13">
        <v>59</v>
      </c>
      <c r="AD23" s="13">
        <v>35</v>
      </c>
      <c r="AE23" s="47"/>
      <c r="AF23" s="13"/>
      <c r="AG23" s="13">
        <v>35</v>
      </c>
      <c r="AH23" s="13">
        <v>0</v>
      </c>
      <c r="AI23" s="13">
        <v>0</v>
      </c>
      <c r="AJ23" s="13">
        <v>0</v>
      </c>
      <c r="AK23" s="24"/>
      <c r="AL23" s="13"/>
      <c r="AM23" s="13"/>
      <c r="AN23" s="13"/>
      <c r="AO23" s="13"/>
      <c r="AP23" s="13"/>
      <c r="AQ23" s="24"/>
      <c r="AR23" s="13"/>
      <c r="AS23" s="57"/>
      <c r="AT23" s="57"/>
      <c r="AU23" s="57">
        <v>31</v>
      </c>
      <c r="AV23" s="57">
        <v>82</v>
      </c>
      <c r="AW23" s="63"/>
      <c r="AX23" s="13"/>
      <c r="AY23" s="57">
        <v>102</v>
      </c>
      <c r="AZ23" s="57">
        <v>159</v>
      </c>
      <c r="BA23" s="57">
        <v>166</v>
      </c>
      <c r="BB23" s="82">
        <v>152</v>
      </c>
      <c r="BC23" s="63"/>
      <c r="BE23" s="57">
        <f>152-20+22</f>
        <v>154</v>
      </c>
      <c r="BF23" s="57">
        <v>121</v>
      </c>
      <c r="BG23" s="57">
        <v>110</v>
      </c>
      <c r="BH23" s="82">
        <v>86</v>
      </c>
      <c r="BI23" s="63"/>
      <c r="BK23" s="57">
        <v>69</v>
      </c>
      <c r="BL23" s="57">
        <v>54</v>
      </c>
      <c r="BM23" s="57">
        <v>31</v>
      </c>
      <c r="BN23" s="82">
        <v>33</v>
      </c>
      <c r="BO23" s="63"/>
      <c r="BQ23" s="57">
        <v>29</v>
      </c>
      <c r="BR23" s="57">
        <v>31</v>
      </c>
      <c r="BS23" s="57">
        <v>39</v>
      </c>
      <c r="BT23" s="82">
        <v>30</v>
      </c>
      <c r="BU23" s="63"/>
      <c r="BW23" s="57">
        <v>28</v>
      </c>
      <c r="BX23" s="57">
        <v>20</v>
      </c>
      <c r="BY23" s="57">
        <v>23</v>
      </c>
      <c r="BZ23" s="82">
        <v>-18</v>
      </c>
      <c r="CA23" s="63"/>
      <c r="CC23" s="57">
        <v>37</v>
      </c>
      <c r="CD23" s="57">
        <f>74+64</f>
        <v>138</v>
      </c>
      <c r="CE23" s="57">
        <v>167</v>
      </c>
      <c r="CF23" s="82">
        <v>304</v>
      </c>
      <c r="CG23" s="63"/>
    </row>
    <row r="24" spans="1:85">
      <c r="A24" s="4" t="s">
        <v>76</v>
      </c>
      <c r="V24" s="4">
        <v>93</v>
      </c>
      <c r="W24" s="4">
        <v>69</v>
      </c>
      <c r="X24" s="4">
        <v>59</v>
      </c>
      <c r="Y24" s="24"/>
      <c r="AA24" s="13">
        <v>25</v>
      </c>
      <c r="AB24" s="13">
        <v>0</v>
      </c>
      <c r="AC24" s="13">
        <v>0</v>
      </c>
      <c r="AD24" s="13">
        <v>0</v>
      </c>
      <c r="AE24" s="47"/>
      <c r="AF24" s="13"/>
      <c r="AG24" s="13"/>
      <c r="AH24" s="13"/>
      <c r="AI24" s="13"/>
      <c r="AJ24" s="13"/>
      <c r="AK24" s="24"/>
      <c r="AL24" s="13"/>
      <c r="AM24" s="13">
        <v>100</v>
      </c>
      <c r="AN24" s="57">
        <v>60</v>
      </c>
      <c r="AO24" s="57">
        <v>30</v>
      </c>
      <c r="AP24" s="13"/>
      <c r="AQ24" s="24"/>
      <c r="AR24" s="13"/>
      <c r="AS24" s="57"/>
      <c r="AT24" s="57"/>
      <c r="AU24" s="57"/>
      <c r="AV24" s="57"/>
      <c r="AW24" s="63"/>
      <c r="AX24" s="13"/>
      <c r="AY24" s="57"/>
      <c r="AZ24" s="57"/>
      <c r="BA24" s="57"/>
      <c r="BB24" s="57"/>
      <c r="BC24" s="63"/>
      <c r="BE24" s="57"/>
      <c r="BF24" s="57"/>
      <c r="BG24" s="57"/>
      <c r="BH24" s="57"/>
      <c r="BI24" s="63"/>
      <c r="BK24" s="57"/>
      <c r="BL24" s="57"/>
      <c r="BM24" s="57"/>
      <c r="BN24" s="57"/>
      <c r="BO24" s="63"/>
      <c r="BQ24" s="57"/>
      <c r="BR24" s="57"/>
      <c r="BS24" s="57"/>
      <c r="BT24" s="57"/>
      <c r="BU24" s="63"/>
      <c r="BW24" s="57"/>
      <c r="BX24" s="57"/>
      <c r="BY24" s="57"/>
      <c r="BZ24" s="57"/>
      <c r="CA24" s="63"/>
      <c r="CC24" s="57"/>
      <c r="CD24" s="57"/>
      <c r="CE24" s="57"/>
      <c r="CF24" s="57"/>
      <c r="CG24" s="63"/>
    </row>
    <row r="25" spans="1:85">
      <c r="A25" s="4" t="s">
        <v>63</v>
      </c>
      <c r="O25" s="4">
        <v>-6</v>
      </c>
      <c r="P25" s="4">
        <v>-6</v>
      </c>
      <c r="Q25" s="4">
        <v>-6</v>
      </c>
      <c r="R25" s="4">
        <v>-26</v>
      </c>
      <c r="U25" s="4">
        <v>-20</v>
      </c>
      <c r="V25" s="4">
        <v>-20</v>
      </c>
      <c r="W25" s="4">
        <v>-20</v>
      </c>
      <c r="Y25" s="24"/>
      <c r="AA25" s="13"/>
      <c r="AB25" s="13"/>
      <c r="AC25" s="13"/>
      <c r="AD25" s="13"/>
      <c r="AE25" s="47"/>
      <c r="AF25" s="13"/>
      <c r="AG25" s="13"/>
      <c r="AH25" s="13"/>
      <c r="AI25" s="13"/>
      <c r="AJ25" s="13"/>
      <c r="AK25" s="24"/>
      <c r="AL25" s="13"/>
      <c r="AM25" s="13"/>
      <c r="AN25" s="13"/>
      <c r="AO25" s="13"/>
      <c r="AP25" s="13"/>
      <c r="AQ25" s="24"/>
      <c r="AR25" s="13"/>
      <c r="AS25" s="57"/>
      <c r="AT25" s="57"/>
      <c r="AU25" s="57"/>
      <c r="AV25" s="57"/>
      <c r="AW25" s="63"/>
      <c r="AX25" s="13"/>
      <c r="AY25" s="57"/>
      <c r="AZ25" s="57"/>
      <c r="BA25" s="57"/>
      <c r="BB25" s="57"/>
      <c r="BC25" s="63"/>
      <c r="BE25" s="57"/>
      <c r="BF25" s="57"/>
      <c r="BG25" s="57"/>
      <c r="BH25" s="57"/>
      <c r="BI25" s="63"/>
      <c r="BK25" s="57"/>
      <c r="BL25" s="57"/>
      <c r="BM25" s="57"/>
      <c r="BN25" s="57"/>
      <c r="BO25" s="63"/>
      <c r="BQ25" s="57"/>
      <c r="BR25" s="57"/>
      <c r="BS25" s="57"/>
      <c r="BT25" s="57"/>
      <c r="BU25" s="63"/>
      <c r="BW25" s="57"/>
      <c r="BX25" s="57"/>
      <c r="BY25" s="57">
        <v>0</v>
      </c>
      <c r="BZ25" s="57"/>
      <c r="CA25" s="63"/>
      <c r="CC25" s="57">
        <v>-97</v>
      </c>
      <c r="CD25" s="57">
        <v>-97</v>
      </c>
      <c r="CE25" s="57">
        <v>-97</v>
      </c>
      <c r="CF25" s="57">
        <v>-96</v>
      </c>
      <c r="CG25" s="63"/>
    </row>
    <row r="26" spans="1:85" s="11" customFormat="1" ht="13.5" thickBot="1">
      <c r="A26" s="11" t="s">
        <v>156</v>
      </c>
      <c r="B26" s="6"/>
      <c r="F26" s="33">
        <f>SUM(F19:F25)</f>
        <v>225</v>
      </c>
      <c r="H26" s="3"/>
      <c r="I26" s="33">
        <f>SUM(I19:I25)</f>
        <v>194</v>
      </c>
      <c r="J26" s="33">
        <f>SUM(J19:J25)</f>
        <v>175</v>
      </c>
      <c r="K26" s="33">
        <f>SUM(K19:K25)</f>
        <v>178</v>
      </c>
      <c r="L26" s="33">
        <f>SUM(L19:L25)</f>
        <v>164</v>
      </c>
      <c r="O26" s="33">
        <f>SUM(O19:O25)</f>
        <v>218</v>
      </c>
      <c r="P26" s="33">
        <f>SUM(P19:P25)</f>
        <v>244</v>
      </c>
      <c r="Q26" s="33">
        <f>SUM(Q19:Q25)</f>
        <v>296</v>
      </c>
      <c r="R26" s="33">
        <f>SUM(R19:R25)</f>
        <v>360</v>
      </c>
      <c r="U26" s="33">
        <f>SUM(U19:U25)</f>
        <v>371</v>
      </c>
      <c r="V26" s="33">
        <f>SUM(V19:V25)</f>
        <v>512</v>
      </c>
      <c r="W26" s="33">
        <f>SUM(W19:W25)</f>
        <v>513</v>
      </c>
      <c r="X26" s="33">
        <f>SUM(X19:X25)</f>
        <v>513</v>
      </c>
      <c r="Y26" s="46"/>
      <c r="AA26" s="33">
        <f>SUM(AA19:AA25)</f>
        <v>528</v>
      </c>
      <c r="AB26" s="33">
        <f>SUM(AB19:AB25)</f>
        <v>563</v>
      </c>
      <c r="AC26" s="33">
        <f>SUM(AC19:AC25)</f>
        <v>634</v>
      </c>
      <c r="AD26" s="33">
        <f>SUM(AD19:AD25)</f>
        <v>709</v>
      </c>
      <c r="AE26" s="46"/>
      <c r="AF26" s="18"/>
      <c r="AG26" s="33">
        <f>SUM(AG19:AG25)</f>
        <v>760</v>
      </c>
      <c r="AH26" s="33">
        <f>SUM(AH19:AH25)</f>
        <v>829</v>
      </c>
      <c r="AI26" s="33">
        <f>SUM(AI19:AI25)</f>
        <v>890</v>
      </c>
      <c r="AJ26" s="33">
        <f>SUM(AJ19:AJ25)</f>
        <v>914</v>
      </c>
      <c r="AK26" s="46"/>
      <c r="AL26" s="18"/>
      <c r="AM26" s="33">
        <f>SUM(AM19:AM25)</f>
        <v>1094</v>
      </c>
      <c r="AN26" s="33">
        <f>SUM(AN19:AN25)</f>
        <v>1186</v>
      </c>
      <c r="AO26" s="33">
        <f>SUM(AO19:AO25)</f>
        <v>1234</v>
      </c>
      <c r="AP26" s="33">
        <f>SUM(AP19:AP25)</f>
        <v>1363</v>
      </c>
      <c r="AQ26" s="46"/>
      <c r="AR26" s="18"/>
      <c r="AS26" s="65">
        <f>SUM(AS19:AS25)</f>
        <v>1412</v>
      </c>
      <c r="AT26" s="65">
        <f>SUM(AT19:AT25)</f>
        <v>1476</v>
      </c>
      <c r="AU26" s="65">
        <f>SUM(AU19:AU25)</f>
        <v>1503</v>
      </c>
      <c r="AV26" s="65">
        <f>SUM(AV19:AV25)</f>
        <v>1300</v>
      </c>
      <c r="AW26" s="15"/>
      <c r="AX26" s="18"/>
      <c r="AY26" s="65">
        <f>SUM(AY19:AY25)</f>
        <v>1142</v>
      </c>
      <c r="AZ26" s="65">
        <f>SUM(AZ19:AZ25)</f>
        <v>975</v>
      </c>
      <c r="BA26" s="65">
        <f>SUM(BA19:BA25)</f>
        <v>878</v>
      </c>
      <c r="BB26" s="65">
        <f>SUM(BB19:BB25)</f>
        <v>935</v>
      </c>
      <c r="BC26" s="15"/>
      <c r="BE26" s="65">
        <f>SUM(BE19:BE25)</f>
        <v>1023</v>
      </c>
      <c r="BF26" s="65">
        <f>SUM(BF19:BF25)</f>
        <v>1011</v>
      </c>
      <c r="BG26" s="65">
        <f>SUM(BG19:BG25)</f>
        <v>1025</v>
      </c>
      <c r="BH26" s="65">
        <f>SUM(BH19:BH25)</f>
        <v>985</v>
      </c>
      <c r="BI26" s="15"/>
      <c r="BK26" s="65">
        <f>SUM(BK19:BK25)</f>
        <v>971</v>
      </c>
      <c r="BL26" s="65">
        <f>SUM(BL19:BL25)</f>
        <v>908</v>
      </c>
      <c r="BM26" s="65">
        <f>SUM(BM19:BM25)</f>
        <v>947</v>
      </c>
      <c r="BN26" s="65">
        <f>SUM(BN19:BN25)</f>
        <v>1036</v>
      </c>
      <c r="BO26" s="15"/>
      <c r="BQ26" s="65">
        <f>SUM(BQ19:BQ25)</f>
        <v>1044</v>
      </c>
      <c r="BR26" s="65">
        <f>SUM(BR19:BR25)</f>
        <v>1065</v>
      </c>
      <c r="BS26" s="65">
        <f>SUM(BS19:BS25)</f>
        <v>1000</v>
      </c>
      <c r="BT26" s="65">
        <f>SUM(BT19:BT25)</f>
        <v>1039</v>
      </c>
      <c r="BU26" s="15"/>
      <c r="BW26" s="65">
        <f>SUM(BW19:BW25)</f>
        <v>1026</v>
      </c>
      <c r="BX26" s="65">
        <f>SUM(BX19:BX25)</f>
        <v>1068</v>
      </c>
      <c r="BY26" s="65">
        <f>SUM(BY19:BY25)</f>
        <v>1073</v>
      </c>
      <c r="BZ26" s="65">
        <f>SUM(BZ19:BZ25)</f>
        <v>1085</v>
      </c>
      <c r="CA26" s="15"/>
      <c r="CC26" s="65">
        <f>SUM(CC19:CC25)</f>
        <v>1122</v>
      </c>
      <c r="CD26" s="65">
        <f>SUM(CD19:CD25)</f>
        <v>1166</v>
      </c>
      <c r="CE26" s="65">
        <f>SUM(CE19:CE25)</f>
        <v>1180</v>
      </c>
      <c r="CF26" s="65">
        <f>SUM(CF19:CF25)</f>
        <v>1269</v>
      </c>
      <c r="CG26" s="15"/>
    </row>
    <row r="27" spans="1:85" ht="13.5" thickTop="1">
      <c r="Y27" s="24"/>
      <c r="AA27" s="13"/>
      <c r="AB27" s="13"/>
      <c r="AC27" s="13"/>
      <c r="AD27" s="13"/>
      <c r="AE27" s="47"/>
      <c r="AF27" s="13"/>
      <c r="AG27" s="13"/>
      <c r="AH27" s="13"/>
      <c r="AI27" s="13"/>
      <c r="AJ27" s="13"/>
      <c r="AK27" s="24"/>
      <c r="AL27" s="13"/>
      <c r="AM27" s="13"/>
      <c r="AN27" s="13"/>
      <c r="AO27" s="13"/>
      <c r="AP27" s="13"/>
      <c r="AQ27" s="24"/>
      <c r="AR27" s="13"/>
      <c r="AS27" s="57"/>
      <c r="AT27" s="57"/>
      <c r="AU27" s="57"/>
      <c r="AV27" s="57"/>
      <c r="AW27" s="63"/>
      <c r="AX27" s="13"/>
      <c r="AY27" s="57"/>
      <c r="AZ27" s="57"/>
      <c r="BA27" s="57"/>
      <c r="BB27" s="57"/>
      <c r="BC27" s="63"/>
      <c r="BE27" s="57"/>
      <c r="BF27" s="57"/>
      <c r="BG27" s="57"/>
      <c r="BH27" s="57"/>
      <c r="BI27" s="63"/>
      <c r="BK27" s="57"/>
      <c r="BL27" s="57"/>
      <c r="BM27" s="57"/>
      <c r="BN27" s="57"/>
      <c r="BO27" s="63"/>
      <c r="BQ27" s="57"/>
      <c r="BR27" s="57"/>
      <c r="BS27" s="57"/>
      <c r="BT27" s="57"/>
      <c r="BU27" s="63"/>
      <c r="BW27" s="57"/>
      <c r="BX27" s="57"/>
      <c r="BY27" s="57"/>
      <c r="BZ27" s="57"/>
      <c r="CA27" s="63"/>
      <c r="CC27" s="57"/>
      <c r="CD27" s="57"/>
      <c r="CE27" s="57"/>
      <c r="CF27" s="57"/>
      <c r="CG27" s="63"/>
    </row>
    <row r="28" spans="1:85">
      <c r="A28" s="4" t="s">
        <v>57</v>
      </c>
      <c r="F28" s="13">
        <f>F26-F29</f>
        <v>300</v>
      </c>
      <c r="I28" s="13">
        <f>I26-I29</f>
        <v>289</v>
      </c>
      <c r="J28" s="13">
        <f>J26-J29</f>
        <v>292</v>
      </c>
      <c r="K28" s="13">
        <f>K26-K29</f>
        <v>308</v>
      </c>
      <c r="L28" s="13">
        <f>L26-L29</f>
        <v>314</v>
      </c>
      <c r="O28" s="13">
        <f>O26-O29</f>
        <v>358</v>
      </c>
      <c r="P28" s="13">
        <f>P26-P29</f>
        <v>366</v>
      </c>
      <c r="Q28" s="13">
        <f>Q26-Q29</f>
        <v>412</v>
      </c>
      <c r="R28" s="13">
        <f>R26-R29</f>
        <v>445</v>
      </c>
      <c r="U28" s="13">
        <f>U26-U29</f>
        <v>451</v>
      </c>
      <c r="V28" s="13">
        <f>V26-V29</f>
        <v>591</v>
      </c>
      <c r="W28" s="13">
        <f>W26-W29</f>
        <v>586</v>
      </c>
      <c r="X28" s="13">
        <f>X26-X29</f>
        <v>587</v>
      </c>
      <c r="Y28" s="47"/>
      <c r="AA28" s="13">
        <f>AA26-AA29</f>
        <v>582</v>
      </c>
      <c r="AB28" s="13">
        <f>AB26-AB29</f>
        <v>603</v>
      </c>
      <c r="AC28" s="13">
        <f>AC26-AC29</f>
        <v>656</v>
      </c>
      <c r="AD28" s="13">
        <f>AD26-AD29</f>
        <v>717</v>
      </c>
      <c r="AE28" s="47"/>
      <c r="AF28" s="13"/>
      <c r="AG28" s="13">
        <f>AG26-AG29</f>
        <v>773</v>
      </c>
      <c r="AH28" s="13">
        <f>AH26-AH29</f>
        <v>844</v>
      </c>
      <c r="AI28" s="13">
        <f>AI26-AI29</f>
        <v>911</v>
      </c>
      <c r="AJ28" s="13">
        <f>AJ26-AJ29</f>
        <v>932</v>
      </c>
      <c r="AK28" s="47"/>
      <c r="AL28" s="13"/>
      <c r="AM28" s="13">
        <f>AM26-AM29</f>
        <v>1116</v>
      </c>
      <c r="AN28" s="13">
        <f>AN26-AN29</f>
        <v>1204</v>
      </c>
      <c r="AO28" s="13">
        <f>AO26-AO29</f>
        <v>1248</v>
      </c>
      <c r="AP28" s="13">
        <f>AP26-AP29</f>
        <v>1381</v>
      </c>
      <c r="AQ28" s="47"/>
      <c r="AR28" s="13"/>
      <c r="AS28" s="57">
        <f>AS26-AS29</f>
        <v>1434</v>
      </c>
      <c r="AT28" s="57">
        <f>AT26-AT29</f>
        <v>1496</v>
      </c>
      <c r="AU28" s="57">
        <f>AU26-AU29</f>
        <v>1525</v>
      </c>
      <c r="AV28" s="57">
        <f>AV26-AV29</f>
        <v>1330</v>
      </c>
      <c r="AW28" s="54"/>
      <c r="AX28" s="13"/>
      <c r="AY28" s="57">
        <f>AY26-AY29</f>
        <v>1167</v>
      </c>
      <c r="AZ28" s="57">
        <f>AZ26-AZ29</f>
        <v>1012</v>
      </c>
      <c r="BA28" s="57">
        <f>BA26-BA29</f>
        <v>919</v>
      </c>
      <c r="BB28" s="57">
        <f>BB26-BB29</f>
        <v>966</v>
      </c>
      <c r="BC28" s="54"/>
      <c r="BE28" s="57">
        <f>BE26-BE29</f>
        <v>1052</v>
      </c>
      <c r="BF28" s="57">
        <f>BF26-BF29</f>
        <v>1033</v>
      </c>
      <c r="BG28" s="57">
        <f>BG26-BG29</f>
        <v>1040</v>
      </c>
      <c r="BH28" s="57">
        <f>BH26-BH29</f>
        <v>996</v>
      </c>
      <c r="BI28" s="54"/>
      <c r="BK28" s="57">
        <f>BK26-BK29</f>
        <v>984</v>
      </c>
      <c r="BL28" s="57">
        <f>BL26-BL29</f>
        <v>917</v>
      </c>
      <c r="BM28" s="57">
        <f>BM26-BM29</f>
        <v>951</v>
      </c>
      <c r="BN28" s="57">
        <f>BN26-BN29</f>
        <v>1035</v>
      </c>
      <c r="BO28" s="54"/>
      <c r="BQ28" s="57">
        <f>BQ26-BQ29</f>
        <v>1036</v>
      </c>
      <c r="BR28" s="57">
        <f>BR26-BR29</f>
        <v>1060</v>
      </c>
      <c r="BS28" s="57">
        <f>BS26-BS29</f>
        <v>999</v>
      </c>
      <c r="BT28" s="57">
        <f>BT26-BT29</f>
        <v>1030</v>
      </c>
      <c r="BU28" s="54"/>
      <c r="BW28" s="57">
        <f>BW26-BW29</f>
        <v>1021</v>
      </c>
      <c r="BX28" s="57">
        <f>BX26-BX29</f>
        <v>1060</v>
      </c>
      <c r="BY28" s="57">
        <f>BY26-BY29</f>
        <v>1062</v>
      </c>
      <c r="BZ28" s="57">
        <f>BZ26-BZ29</f>
        <v>1079</v>
      </c>
      <c r="CA28" s="54"/>
      <c r="CC28" s="57">
        <f>CC26-CC29</f>
        <v>1111</v>
      </c>
      <c r="CD28" s="57">
        <f>CD26-CD29</f>
        <v>1156</v>
      </c>
      <c r="CE28" s="57">
        <f>CE26-CE29</f>
        <v>1171</v>
      </c>
      <c r="CF28" s="57">
        <f>CF26-CF29</f>
        <v>1248</v>
      </c>
      <c r="CG28" s="54"/>
    </row>
    <row r="29" spans="1:85">
      <c r="A29" s="4" t="s">
        <v>58</v>
      </c>
      <c r="C29" s="4" t="s">
        <v>78</v>
      </c>
      <c r="F29" s="13">
        <f>'Segment Data'!G36+'Segment Data'!G37</f>
        <v>-75</v>
      </c>
      <c r="I29" s="13">
        <f>'Segment Data'!D36+'Segment Data'!E36+'Segment Data'!F36+'Segment Data'!D37+'Segment Data'!E37+'Segment Data'!F37+'Segment Data'!I36+'Segment Data'!I37</f>
        <v>-95</v>
      </c>
      <c r="J29" s="13">
        <f>'Segment Data'!E36+'Segment Data'!F36+'Segment Data'!E37+'Segment Data'!F37+'Segment Data'!I36+'Segment Data'!J36+'Segment Data'!I37+'Segment Data'!J37</f>
        <v>-117</v>
      </c>
      <c r="K29" s="13">
        <f>'Segment Data'!F36+'Segment Data'!F37+'Segment Data'!I36+'Segment Data'!I37+'Segment Data'!J36+'Segment Data'!J37+'Segment Data'!K36+'Segment Data'!K37</f>
        <v>-130</v>
      </c>
      <c r="L29" s="13">
        <f>'Segment Data'!M36+'Segment Data'!M37</f>
        <v>-150</v>
      </c>
      <c r="O29" s="13">
        <f>'Segment Data'!J36+'Segment Data'!J37+'Segment Data'!K36+'Segment Data'!K37+'Segment Data'!L36+'Segment Data'!L37+'Segment Data'!O36+'Segment Data'!O37</f>
        <v>-140</v>
      </c>
      <c r="P29" s="13">
        <f>'Segment Data'!K36+'Segment Data'!K37+'Segment Data'!L36+'Segment Data'!L37+'Segment Data'!O36+'Segment Data'!O37+'Segment Data'!P36+'Segment Data'!P37</f>
        <v>-122</v>
      </c>
      <c r="Q29" s="13">
        <f>'Segment Data'!L36+'Segment Data'!L37+'Segment Data'!O36+'Segment Data'!O37+'Segment Data'!P36+'Segment Data'!P37+'Segment Data'!Q36+'Segment Data'!Q37</f>
        <v>-116</v>
      </c>
      <c r="R29" s="13">
        <f>'Segment Data'!S36+'Segment Data'!S37</f>
        <v>-85</v>
      </c>
      <c r="U29" s="13">
        <f>'Segment Data'!P36+'Segment Data'!P37+'Segment Data'!Q36+'Segment Data'!Q37+'Segment Data'!R36+'Segment Data'!R37+'Segment Data'!U36+'Segment Data'!U37</f>
        <v>-80</v>
      </c>
      <c r="V29" s="13">
        <f>'Segment Data'!Q36+'Segment Data'!Q37+'Segment Data'!R36+'Segment Data'!R37+'Segment Data'!U36+'Segment Data'!U37+'Segment Data'!V36+'Segment Data'!V37</f>
        <v>-79</v>
      </c>
      <c r="W29" s="13">
        <f>'Segment Data'!R36+'Segment Data'!R37+'Segment Data'!U36+'Segment Data'!U37+'Segment Data'!V36+'Segment Data'!V37+'Segment Data'!W36+'Segment Data'!W37</f>
        <v>-73</v>
      </c>
      <c r="X29" s="13">
        <v>-74</v>
      </c>
      <c r="Y29" s="47"/>
      <c r="AA29" s="13">
        <f>'Segment Data'!V36+'Segment Data'!V37+'Segment Data'!W36+'Segment Data'!W37+'Segment Data'!X36+'Segment Data'!X37+'Segment Data'!AG36+'Segment Data'!AG37+14</f>
        <v>-54</v>
      </c>
      <c r="AB29" s="13">
        <f>'Segment Data'!AH36+'Segment Data'!AG36+'Segment Data'!X36+'Segment Data'!W36+14</f>
        <v>-40</v>
      </c>
      <c r="AC29" s="13">
        <f>'Segment Data'!AI36+'Segment Data'!AH36+'Segment Data'!AG36+'Segment Data'!AD36+14</f>
        <v>-22</v>
      </c>
      <c r="AD29" s="13">
        <f>'Segment Data'!AK36</f>
        <v>-8</v>
      </c>
      <c r="AE29" s="47"/>
      <c r="AF29" s="13"/>
      <c r="AG29" s="13">
        <f>'Segment Data'!AH36+'Segment Data'!AI36+'Segment Data'!AJ36+'Segment Data'!AM36</f>
        <v>-13</v>
      </c>
      <c r="AH29" s="13">
        <f>'Segment Data'!AN36+'Segment Data'!AM36+'Segment Data'!AJ36+'Segment Data'!AI36</f>
        <v>-15</v>
      </c>
      <c r="AI29" s="13">
        <f>'Segment Data'!AO36+'Segment Data'!AN36+'Segment Data'!AM36+'Segment Data'!AJ36</f>
        <v>-21</v>
      </c>
      <c r="AJ29" s="13">
        <f>'Segment Data'!AQ36</f>
        <v>-18</v>
      </c>
      <c r="AK29" s="47"/>
      <c r="AL29" s="13"/>
      <c r="AM29" s="13">
        <f>'Segment Data'!AN36+'Segment Data'!AO36+'Segment Data'!AP36+'Segment Data'!AS36</f>
        <v>-22</v>
      </c>
      <c r="AN29" s="13">
        <f>'Segment Data'!AO36+'Segment Data'!AP36+'Segment Data'!AS36+'Segment Data'!AT36</f>
        <v>-18</v>
      </c>
      <c r="AO29" s="13">
        <f>'Segment Data'!AP36+'Segment Data'!AS36+'Segment Data'!AT36+'Segment Data'!AU36</f>
        <v>-14</v>
      </c>
      <c r="AP29" s="13">
        <f>+'Segment Data'!AW36</f>
        <v>-18</v>
      </c>
      <c r="AQ29" s="47"/>
      <c r="AR29" s="13"/>
      <c r="AS29" s="13">
        <f>'Segment Data'!AT36+'Segment Data'!AU36+'Segment Data'!AV36+'Segment Data'!AY36</f>
        <v>-22</v>
      </c>
      <c r="AT29" s="13">
        <f>'Segment Data'!AU36+'Segment Data'!AV36+'Segment Data'!AY36+'Segment Data'!AZ36</f>
        <v>-20</v>
      </c>
      <c r="AU29" s="13">
        <f>'Segment Data'!AV36+'Segment Data'!AY36+'Segment Data'!AZ36+'Segment Data'!BA36</f>
        <v>-22</v>
      </c>
      <c r="AV29" s="13">
        <f>+'Segment Data'!BC36</f>
        <v>-30</v>
      </c>
      <c r="AW29" s="54"/>
      <c r="AX29" s="13"/>
      <c r="AY29" s="13">
        <f>'Segment Data'!AZ36+'Segment Data'!BA36+'Segment Data'!BB36+'Segment Data'!BE36</f>
        <v>-25</v>
      </c>
      <c r="AZ29" s="13">
        <f>'Segment Data'!BA36+'Segment Data'!BB36+'Segment Data'!BE36+'Segment Data'!BF36</f>
        <v>-37</v>
      </c>
      <c r="BA29" s="13">
        <f>'Segment Data'!BB36+'Segment Data'!BE36+'Segment Data'!BF36+'Segment Data'!BG36</f>
        <v>-41</v>
      </c>
      <c r="BB29" s="13">
        <f>'Segment Data'!BI36</f>
        <v>-31</v>
      </c>
      <c r="BC29" s="54"/>
      <c r="BE29" s="13">
        <f>'Segment Data'!BF36+'Segment Data'!BG36+'Segment Data'!BH36+'Segment Data'!BK36</f>
        <v>-29</v>
      </c>
      <c r="BF29" s="13">
        <f>'Segment Data'!BG36+'Segment Data'!BH36+'Segment Data'!BK36+'Segment Data'!BL36</f>
        <v>-22</v>
      </c>
      <c r="BG29" s="13">
        <f>'Segment Data'!BH36+'Segment Data'!BK36+'Segment Data'!BL36+'Segment Data'!BM36</f>
        <v>-15</v>
      </c>
      <c r="BH29" s="13">
        <f>'Segment Data'!BO36</f>
        <v>-11</v>
      </c>
      <c r="BI29" s="54"/>
      <c r="BK29" s="13">
        <f>+'Segment Data'!BQ36+'Segment Data'!BN36+'Segment Data'!BM36+'Segment Data'!BL36</f>
        <v>-13</v>
      </c>
      <c r="BL29" s="13">
        <f>'Segment Data'!BM36+'Segment Data'!BN36+'Segment Data'!BQ36+'Segment Data'!BR36</f>
        <v>-9</v>
      </c>
      <c r="BM29" s="13">
        <f>'Segment Data'!BN36+'Segment Data'!BQ36+'Segment Data'!BR36+'Segment Data'!BS36</f>
        <v>-4</v>
      </c>
      <c r="BN29" s="13">
        <f>'Segment Data'!BU36</f>
        <v>1</v>
      </c>
      <c r="BO29" s="54"/>
      <c r="BQ29" s="13">
        <f>+'Segment Data'!BW36+'Segment Data'!BT36+'Segment Data'!BS36+'Segment Data'!BR36</f>
        <v>8</v>
      </c>
      <c r="BR29" s="13">
        <f>'Segment Data'!BS36+'Segment Data'!BT36+'Segment Data'!BW36+'Segment Data'!BX36</f>
        <v>5</v>
      </c>
      <c r="BS29" s="13">
        <f>'Segment Data'!BT36+'Segment Data'!BW36+'Segment Data'!BX36+'Segment Data'!BY36</f>
        <v>1</v>
      </c>
      <c r="BT29" s="13">
        <f>'Segment Data'!CA36</f>
        <v>9</v>
      </c>
      <c r="BU29" s="54"/>
      <c r="BW29" s="57">
        <f>+'Segment Data'!CC36+'Segment Data'!BZ36+'Segment Data'!BY36+'Segment Data'!BX36</f>
        <v>5</v>
      </c>
      <c r="BX29" s="13">
        <f>'Segment Data'!BY36+'Segment Data'!BZ36+'Segment Data'!CC36+'Segment Data'!CD36</f>
        <v>8</v>
      </c>
      <c r="BY29" s="13">
        <f>'Segment Data'!BZ36+'Segment Data'!CC36+'Segment Data'!CD36+'Segment Data'!CE36</f>
        <v>11</v>
      </c>
      <c r="BZ29" s="13">
        <f>'Segment Data'!CG36</f>
        <v>6</v>
      </c>
      <c r="CA29" s="54"/>
      <c r="CC29" s="57">
        <f>+'Segment Data'!CI36+'Segment Data'!CF36+'Segment Data'!CE36+'Segment Data'!CD36</f>
        <v>11</v>
      </c>
      <c r="CD29" s="57">
        <f>+'Segment Data'!CJ36+'Segment Data'!CI36+'Segment Data'!CF36+'Segment Data'!CE36</f>
        <v>10</v>
      </c>
      <c r="CE29" s="13">
        <f>'Segment Data'!CF36+'Segment Data'!CI36+'Segment Data'!CJ36+'Segment Data'!CK36</f>
        <v>9</v>
      </c>
      <c r="CF29" s="13">
        <f>'Segment Data'!CI36+'Segment Data'!CJ36+'Segment Data'!CK36+'Segment Data'!CL36</f>
        <v>21</v>
      </c>
      <c r="CG29" s="54"/>
    </row>
    <row r="30" spans="1:85" s="11" customFormat="1" ht="13.5" thickBot="1">
      <c r="A30" s="11" t="s">
        <v>156</v>
      </c>
      <c r="B30" s="6"/>
      <c r="F30" s="33">
        <f>SUM(F28:F29)</f>
        <v>225</v>
      </c>
      <c r="H30" s="3"/>
      <c r="I30" s="33">
        <f>SUM(I28:I29)</f>
        <v>194</v>
      </c>
      <c r="J30" s="33">
        <f>SUM(J28:J29)</f>
        <v>175</v>
      </c>
      <c r="K30" s="33">
        <f>SUM(K28:K29)</f>
        <v>178</v>
      </c>
      <c r="L30" s="33">
        <f>SUM(L28:L29)</f>
        <v>164</v>
      </c>
      <c r="O30" s="33">
        <f>SUM(O28:O29)</f>
        <v>218</v>
      </c>
      <c r="P30" s="33">
        <f>SUM(P28:P29)</f>
        <v>244</v>
      </c>
      <c r="Q30" s="33">
        <f>SUM(Q28:Q29)</f>
        <v>296</v>
      </c>
      <c r="R30" s="33">
        <f>SUM(R28:R29)</f>
        <v>360</v>
      </c>
      <c r="U30" s="33">
        <f>SUM(U28:U29)</f>
        <v>371</v>
      </c>
      <c r="V30" s="33">
        <f>SUM(V28:V29)</f>
        <v>512</v>
      </c>
      <c r="W30" s="33">
        <f>SUM(W28:W29)</f>
        <v>513</v>
      </c>
      <c r="X30" s="33">
        <f>SUM(X28:X29)</f>
        <v>513</v>
      </c>
      <c r="Y30" s="46"/>
      <c r="AA30" s="33">
        <f>SUM(AA28:AA29)</f>
        <v>528</v>
      </c>
      <c r="AB30" s="33">
        <f>SUM(AB28:AB29)</f>
        <v>563</v>
      </c>
      <c r="AC30" s="33">
        <f>SUM(AC28:AC29)</f>
        <v>634</v>
      </c>
      <c r="AD30" s="33">
        <f>SUM(AD28:AD29)</f>
        <v>709</v>
      </c>
      <c r="AE30" s="46"/>
      <c r="AF30" s="18"/>
      <c r="AG30" s="33">
        <f>SUM(AG28:AG29)</f>
        <v>760</v>
      </c>
      <c r="AH30" s="33">
        <f>SUM(AH28:AH29)</f>
        <v>829</v>
      </c>
      <c r="AI30" s="33">
        <f>SUM(AI28:AI29)</f>
        <v>890</v>
      </c>
      <c r="AJ30" s="33">
        <f>SUM(AJ28:AJ29)</f>
        <v>914</v>
      </c>
      <c r="AK30" s="46"/>
      <c r="AL30" s="18"/>
      <c r="AM30" s="33">
        <f>SUM(AM28:AM29)</f>
        <v>1094</v>
      </c>
      <c r="AN30" s="33">
        <f>SUM(AN28:AN29)</f>
        <v>1186</v>
      </c>
      <c r="AO30" s="33">
        <f>SUM(AO28:AO29)</f>
        <v>1234</v>
      </c>
      <c r="AP30" s="33">
        <f>SUM(AP28:AP29)</f>
        <v>1363</v>
      </c>
      <c r="AQ30" s="46"/>
      <c r="AR30" s="18"/>
      <c r="AS30" s="65">
        <f>SUM(AS28:AS29)</f>
        <v>1412</v>
      </c>
      <c r="AT30" s="65">
        <f>SUM(AT28:AT29)</f>
        <v>1476</v>
      </c>
      <c r="AU30" s="65">
        <f>SUM(AU28:AU29)</f>
        <v>1503</v>
      </c>
      <c r="AV30" s="65">
        <f>SUM(AV28:AV29)</f>
        <v>1300</v>
      </c>
      <c r="AW30" s="15"/>
      <c r="AX30" s="18"/>
      <c r="AY30" s="65">
        <f>SUM(AY28:AY29)</f>
        <v>1142</v>
      </c>
      <c r="AZ30" s="65">
        <f>SUM(AZ28:AZ29)</f>
        <v>975</v>
      </c>
      <c r="BA30" s="65">
        <f>SUM(BA28:BA29)</f>
        <v>878</v>
      </c>
      <c r="BB30" s="65">
        <f>SUM(BB28:BB29)</f>
        <v>935</v>
      </c>
      <c r="BC30" s="15"/>
      <c r="BE30" s="65">
        <f>SUM(BE28:BE29)</f>
        <v>1023</v>
      </c>
      <c r="BF30" s="65">
        <f>SUM(BF28:BF29)</f>
        <v>1011</v>
      </c>
      <c r="BG30" s="65">
        <f>SUM(BG28:BG29)</f>
        <v>1025</v>
      </c>
      <c r="BH30" s="65">
        <f>SUM(BH28:BH29)</f>
        <v>985</v>
      </c>
      <c r="BI30" s="15"/>
      <c r="BK30" s="65">
        <f>SUM(BK28:BK29)</f>
        <v>971</v>
      </c>
      <c r="BL30" s="65">
        <f>SUM(BL28:BL29)</f>
        <v>908</v>
      </c>
      <c r="BM30" s="65">
        <f>SUM(BM28:BM29)</f>
        <v>947</v>
      </c>
      <c r="BN30" s="65">
        <f>SUM(BN28:BN29)</f>
        <v>1036</v>
      </c>
      <c r="BO30" s="15"/>
      <c r="BQ30" s="65">
        <f>SUM(BQ28:BQ29)</f>
        <v>1044</v>
      </c>
      <c r="BR30" s="65">
        <f>SUM(BR28:BR29)</f>
        <v>1065</v>
      </c>
      <c r="BS30" s="65">
        <f>SUM(BS28:BS29)</f>
        <v>1000</v>
      </c>
      <c r="BT30" s="65">
        <f>SUM(BT28:BT29)</f>
        <v>1039</v>
      </c>
      <c r="BU30" s="15"/>
      <c r="BW30" s="65">
        <f>SUM(BW28:BW29)</f>
        <v>1026</v>
      </c>
      <c r="BX30" s="65">
        <f>SUM(BX28:BX29)</f>
        <v>1068</v>
      </c>
      <c r="BY30" s="65">
        <f>SUM(BY28:BY29)</f>
        <v>1073</v>
      </c>
      <c r="BZ30" s="65">
        <f>SUM(BZ28:BZ29)</f>
        <v>1085</v>
      </c>
      <c r="CA30" s="15"/>
      <c r="CC30" s="65">
        <f>SUM(CC28:CC29)</f>
        <v>1122</v>
      </c>
      <c r="CD30" s="65">
        <f>SUM(CD28:CD29)</f>
        <v>1166</v>
      </c>
      <c r="CE30" s="65">
        <f>SUM(CE28:CE29)</f>
        <v>1180</v>
      </c>
      <c r="CF30" s="65">
        <f>SUM(CF28:CF29)</f>
        <v>1269</v>
      </c>
      <c r="CG30" s="15"/>
    </row>
    <row r="31" spans="1:85" ht="13.5" thickTop="1">
      <c r="V31" s="44"/>
      <c r="W31" s="44"/>
      <c r="X31" s="44"/>
      <c r="Y31" s="24"/>
      <c r="AB31" s="44"/>
      <c r="AC31" s="44"/>
      <c r="AD31" s="44"/>
      <c r="AE31" s="24"/>
      <c r="AH31" s="44"/>
      <c r="AI31" s="44"/>
      <c r="AJ31" s="44"/>
      <c r="AK31" s="24"/>
      <c r="AN31" s="44"/>
      <c r="AO31" s="44"/>
      <c r="AP31" s="44"/>
      <c r="AQ31" s="24"/>
      <c r="AS31" s="9"/>
      <c r="AT31" s="67"/>
      <c r="AU31" s="67"/>
      <c r="AV31" s="67"/>
      <c r="AW31" s="63"/>
      <c r="AY31" s="9"/>
      <c r="AZ31" s="67"/>
      <c r="BA31" s="67"/>
      <c r="BB31" s="67"/>
      <c r="BC31" s="63"/>
      <c r="BE31" s="9"/>
      <c r="BF31" s="67"/>
      <c r="BG31" s="67"/>
      <c r="BH31" s="67"/>
      <c r="BI31" s="63"/>
      <c r="BK31" s="9"/>
      <c r="BL31" s="67"/>
      <c r="BM31" s="67"/>
      <c r="BN31" s="67"/>
      <c r="BO31" s="63"/>
      <c r="BQ31" s="9"/>
      <c r="BR31" s="67"/>
      <c r="BS31" s="67"/>
      <c r="BT31" s="67"/>
      <c r="BU31" s="63"/>
      <c r="BW31" s="9"/>
      <c r="BX31" s="67"/>
      <c r="BY31" s="67"/>
      <c r="BZ31" s="67"/>
      <c r="CA31" s="63"/>
      <c r="CC31" s="9"/>
      <c r="CD31" s="67"/>
      <c r="CE31" s="67"/>
      <c r="CF31" s="67"/>
      <c r="CG31" s="63"/>
    </row>
    <row r="32" spans="1:85">
      <c r="Y32" s="24"/>
      <c r="AE32" s="24"/>
      <c r="AK32" s="24"/>
      <c r="AQ32" s="24"/>
      <c r="AS32" s="9"/>
      <c r="AT32" s="9"/>
      <c r="AU32" s="9"/>
      <c r="AV32" s="9"/>
      <c r="AW32" s="63"/>
      <c r="AY32" s="9"/>
      <c r="AZ32" s="9"/>
      <c r="BA32" s="9"/>
      <c r="BB32" s="9"/>
      <c r="BC32" s="63"/>
      <c r="BE32" s="9"/>
      <c r="BF32" s="9"/>
      <c r="BG32" s="9"/>
      <c r="BH32" s="9"/>
      <c r="BI32" s="63"/>
      <c r="BK32" s="9"/>
      <c r="BL32" s="9"/>
      <c r="BM32" s="9"/>
      <c r="BN32" s="9"/>
      <c r="BO32" s="63"/>
      <c r="BQ32" s="9"/>
      <c r="BR32" s="9"/>
      <c r="BS32" s="9"/>
      <c r="BT32" s="9"/>
      <c r="BU32" s="63"/>
      <c r="BW32" s="9"/>
      <c r="BX32" s="9"/>
      <c r="BY32" s="9"/>
      <c r="BZ32" s="9"/>
      <c r="CA32" s="63"/>
      <c r="CC32" s="9"/>
      <c r="CD32" s="9"/>
      <c r="CE32" s="9"/>
      <c r="CF32" s="9"/>
      <c r="CG32" s="63"/>
    </row>
    <row r="33" spans="1:85">
      <c r="A33" s="10" t="s">
        <v>59</v>
      </c>
      <c r="Y33" s="24"/>
      <c r="AE33" s="24"/>
      <c r="AK33" s="24"/>
      <c r="AQ33" s="24"/>
      <c r="AS33" s="9"/>
      <c r="AT33" s="9"/>
      <c r="AU33" s="9"/>
      <c r="AV33" s="9"/>
      <c r="AW33" s="63"/>
      <c r="AY33" s="9"/>
      <c r="AZ33" s="9"/>
      <c r="BA33" s="9"/>
      <c r="BB33" s="9"/>
      <c r="BC33" s="63"/>
      <c r="BE33" s="9"/>
      <c r="BF33" s="9"/>
      <c r="BG33" s="9"/>
      <c r="BH33" s="9"/>
      <c r="BI33" s="63"/>
      <c r="BK33" s="9"/>
      <c r="BL33" s="9"/>
      <c r="BM33" s="9"/>
      <c r="BN33" s="9"/>
      <c r="BO33" s="63"/>
      <c r="BQ33" s="9"/>
      <c r="BR33" s="9"/>
      <c r="BS33" s="9"/>
      <c r="BT33" s="9"/>
      <c r="BU33" s="63"/>
      <c r="BW33" s="9"/>
      <c r="BX33" s="9"/>
      <c r="BY33" s="9"/>
      <c r="BZ33" s="9"/>
      <c r="CA33" s="63"/>
      <c r="CC33" s="9"/>
      <c r="CD33" s="9"/>
      <c r="CE33" s="9"/>
      <c r="CF33" s="9"/>
      <c r="CG33" s="63"/>
    </row>
    <row r="34" spans="1:85">
      <c r="A34" s="4" t="s">
        <v>159</v>
      </c>
      <c r="F34" s="41">
        <f>F17/F30</f>
        <v>12.045177777777777</v>
      </c>
      <c r="I34" s="41">
        <f>I17/I30</f>
        <v>12.977293814432988</v>
      </c>
      <c r="J34" s="41">
        <f>J17/J30</f>
        <v>13.151914285714286</v>
      </c>
      <c r="K34" s="41">
        <f>K17/K30</f>
        <v>8.2222303370786509</v>
      </c>
      <c r="L34" s="41">
        <f>L17/L30</f>
        <v>9.3967926829268293</v>
      </c>
      <c r="O34" s="41">
        <f>O17/O30</f>
        <v>7.6608990825688075</v>
      </c>
      <c r="P34" s="41">
        <f>P17/P30</f>
        <v>8.9225000000000012</v>
      </c>
      <c r="Q34" s="41">
        <f>Q17/Q30</f>
        <v>8.43616891891892</v>
      </c>
      <c r="R34" s="41">
        <f>R17/R30</f>
        <v>6.5641888888888893</v>
      </c>
      <c r="U34" s="41">
        <f>U17/U30</f>
        <v>7.6064690026954178</v>
      </c>
      <c r="V34" s="41">
        <f>V17/V30</f>
        <v>8.0947265625</v>
      </c>
      <c r="W34" s="41">
        <f>W17/W30</f>
        <v>8.0730994152046787</v>
      </c>
      <c r="X34" s="41">
        <f>X17/X30</f>
        <v>8.5175438596491233</v>
      </c>
      <c r="Y34" s="50"/>
      <c r="AA34" s="41">
        <f>AA17/AA30</f>
        <v>9.9356060606060606</v>
      </c>
      <c r="AB34" s="41">
        <f>AB17/AB30</f>
        <v>11.063055062166963</v>
      </c>
      <c r="AC34" s="41">
        <f>AC17/AC30</f>
        <v>11.12064668769716</v>
      </c>
      <c r="AD34" s="41">
        <f>AD17/AD30</f>
        <v>10.735056417489421</v>
      </c>
      <c r="AE34" s="50"/>
      <c r="AG34" s="41">
        <f>AG17/AG30</f>
        <v>13.606125</v>
      </c>
      <c r="AH34" s="41">
        <f>AH17/AH30</f>
        <v>11.899218335343788</v>
      </c>
      <c r="AI34" s="41">
        <f>AI17/AI30</f>
        <v>12.960139325842697</v>
      </c>
      <c r="AJ34" s="41">
        <f>AJ17/AJ30</f>
        <v>14.029831509846828</v>
      </c>
      <c r="AK34" s="50"/>
      <c r="AM34" s="41">
        <f>AM17/AM30</f>
        <v>11.426010968921389</v>
      </c>
      <c r="AN34" s="41">
        <f>AN17/AN30</f>
        <v>12.862091062394605</v>
      </c>
      <c r="AO34" s="41">
        <f>AO17/AO30</f>
        <v>13.080356564019448</v>
      </c>
      <c r="AP34" s="41">
        <f>AP17/AP30</f>
        <v>9.4248275862068969</v>
      </c>
      <c r="AQ34" s="50"/>
      <c r="AS34" s="68">
        <f>AS17/AS30</f>
        <v>7.2734985835694053</v>
      </c>
      <c r="AT34" s="68">
        <f>AT17/AT30</f>
        <v>8.0766395663956647</v>
      </c>
      <c r="AU34" s="68">
        <f>AU17/AU30</f>
        <v>5.7610113107119094</v>
      </c>
      <c r="AV34" s="68">
        <f>AV17/AV30</f>
        <v>3.6952615384615384</v>
      </c>
      <c r="AW34" s="69"/>
      <c r="AY34" s="68">
        <f>AY17/AY30</f>
        <v>4.0353590192644484</v>
      </c>
      <c r="AZ34" s="68">
        <f>AZ17/AZ30</f>
        <v>7.0229230769230764</v>
      </c>
      <c r="BA34" s="68">
        <f>BA17/BA30</f>
        <v>11.096902050113895</v>
      </c>
      <c r="BB34" s="68">
        <f>BB17/BB30</f>
        <v>10.294374331550802</v>
      </c>
      <c r="BC34" s="69"/>
      <c r="BE34" s="68">
        <f>BE17/BE30</f>
        <v>10.388484848484849</v>
      </c>
      <c r="BF34" s="68">
        <f>BF17/BF30</f>
        <v>10.184089020771513</v>
      </c>
      <c r="BG34" s="68">
        <f>BG17/BG30</f>
        <v>10.282409756097563</v>
      </c>
      <c r="BH34" s="68">
        <f>BH17/BH30</f>
        <v>11.308951269035532</v>
      </c>
      <c r="BI34" s="69"/>
      <c r="BK34" s="68">
        <f>BK17/BK30</f>
        <v>12.499599573635427</v>
      </c>
      <c r="BL34" s="68">
        <f>BL17/BL30</f>
        <v>14.020178707048457</v>
      </c>
      <c r="BM34" s="68">
        <f>BM17/BM30</f>
        <v>10.091269174234423</v>
      </c>
      <c r="BN34" s="68">
        <f>BN17/BN30</f>
        <v>8.6439824459459462</v>
      </c>
      <c r="BO34" s="69"/>
      <c r="BQ34" s="68">
        <f>BQ17/BQ30</f>
        <v>10.100465565134101</v>
      </c>
      <c r="BR34" s="68">
        <f>BR17/BR30</f>
        <v>6.7813051643192486</v>
      </c>
      <c r="BS34" s="68">
        <f>BS17/BS30</f>
        <v>7.5678220000000005</v>
      </c>
      <c r="BT34" s="68">
        <f>BT17/BT30</f>
        <v>6.5191953801732438</v>
      </c>
      <c r="BU34" s="69"/>
      <c r="BW34" s="68">
        <f>BW17/BW30</f>
        <v>7.7351345029239766</v>
      </c>
      <c r="BX34" s="68">
        <f>BX17/BX30</f>
        <v>7.3103220973782772</v>
      </c>
      <c r="BY34" s="68">
        <f>BY17/BY30</f>
        <v>8.6633010251630935</v>
      </c>
      <c r="BZ34" s="68">
        <f>BZ17/BZ30</f>
        <v>7.8438746543778795</v>
      </c>
      <c r="CA34" s="69"/>
      <c r="CC34" s="68">
        <f>CC17/CC30</f>
        <v>8.4635454545454554</v>
      </c>
      <c r="CD34" s="68">
        <f>CD17/CD30</f>
        <v>9.379518010291596</v>
      </c>
      <c r="CE34" s="68">
        <f>CE17/CE30</f>
        <v>8.3716313559322035</v>
      </c>
      <c r="CF34" s="68">
        <f>CF17/CF30</f>
        <v>7.1406808510638307</v>
      </c>
      <c r="CG34" s="69"/>
    </row>
    <row r="35" spans="1:85">
      <c r="A35" s="4" t="s">
        <v>160</v>
      </c>
      <c r="F35" s="41">
        <f>F17/F28</f>
        <v>9.0338833333333337</v>
      </c>
      <c r="I35" s="41">
        <f>I17/I28</f>
        <v>8.7114013840830449</v>
      </c>
      <c r="J35" s="41">
        <f>J17/J28</f>
        <v>7.8821404109589039</v>
      </c>
      <c r="K35" s="41">
        <f>K17/K28</f>
        <v>4.7518084415584418</v>
      </c>
      <c r="L35" s="41">
        <f>L17/L28</f>
        <v>4.90787898089172</v>
      </c>
      <c r="O35" s="41">
        <f>O17/O28</f>
        <v>4.6650167597765364</v>
      </c>
      <c r="P35" s="41">
        <f>P17/P28</f>
        <v>5.9483333333333341</v>
      </c>
      <c r="Q35" s="41">
        <f>Q17/Q28</f>
        <v>6.0609368932038841</v>
      </c>
      <c r="R35" s="41">
        <f>R17/R28</f>
        <v>5.3103550561797759</v>
      </c>
      <c r="U35" s="41">
        <f>U17/U28</f>
        <v>6.2572062084257203</v>
      </c>
      <c r="V35" s="41">
        <f>V17/V28</f>
        <v>7.0126903553299496</v>
      </c>
      <c r="W35" s="41">
        <f>W17/W28</f>
        <v>7.0674061433447095</v>
      </c>
      <c r="X35" s="41">
        <f>X17/X28</f>
        <v>7.4437819420783642</v>
      </c>
      <c r="Y35" s="50"/>
      <c r="AA35" s="41">
        <f>AA17/AA28</f>
        <v>9.0137457044673539</v>
      </c>
      <c r="AB35" s="41">
        <f>AB17/AB28</f>
        <v>10.329187396351575</v>
      </c>
      <c r="AC35" s="41">
        <f>AC17/AC28</f>
        <v>10.747698170731708</v>
      </c>
      <c r="AD35" s="41">
        <f>AD17/AD28</f>
        <v>10.615278940027894</v>
      </c>
      <c r="AE35" s="50"/>
      <c r="AG35" s="41">
        <f>AG17/AG28</f>
        <v>13.377302716688229</v>
      </c>
      <c r="AH35" s="41">
        <f>AH17/AH28</f>
        <v>11.687739336492891</v>
      </c>
      <c r="AI35" s="41">
        <f>AI17/AI28</f>
        <v>12.661387486278814</v>
      </c>
      <c r="AJ35" s="41">
        <f>AJ17/AJ28</f>
        <v>13.758869098712445</v>
      </c>
      <c r="AK35" s="50"/>
      <c r="AM35" s="41">
        <f>AM17/AM28</f>
        <v>11.200767025089606</v>
      </c>
      <c r="AN35" s="41">
        <f>AN17/AN28</f>
        <v>12.669800664451827</v>
      </c>
      <c r="AO35" s="41">
        <f>AO17/AO28</f>
        <v>12.933621794871796</v>
      </c>
      <c r="AP35" s="41">
        <f>AP17/AP28</f>
        <v>9.3019840695148446</v>
      </c>
      <c r="AQ35" s="50"/>
      <c r="AS35" s="68">
        <f>AS17/AS28</f>
        <v>7.1619107391910743</v>
      </c>
      <c r="AT35" s="68">
        <f>AT17/AT28</f>
        <v>7.968663101604279</v>
      </c>
      <c r="AU35" s="68">
        <f>AU17/AU28</f>
        <v>5.6779016393442614</v>
      </c>
      <c r="AV35" s="68">
        <f>AV17/AV28</f>
        <v>3.6119097744360902</v>
      </c>
      <c r="AW35" s="69"/>
      <c r="AY35" s="68">
        <f>AY17/AY28</f>
        <v>3.9489117395029991</v>
      </c>
      <c r="AZ35" s="68">
        <f>AZ17/AZ28</f>
        <v>6.7661561264822128</v>
      </c>
      <c r="BA35" s="68">
        <f>BA17/BA28</f>
        <v>10.60182807399347</v>
      </c>
      <c r="BB35" s="68">
        <f>BB17/BB28</f>
        <v>9.9640165631469984</v>
      </c>
      <c r="BC35" s="69"/>
      <c r="BE35" s="68">
        <f>BE17/BE28</f>
        <v>10.102110266159697</v>
      </c>
      <c r="BF35" s="68">
        <f>BF17/BF28</f>
        <v>9.9671965150048401</v>
      </c>
      <c r="BG35" s="68">
        <f>BG17/BG28</f>
        <v>10.13410576923077</v>
      </c>
      <c r="BH35" s="68">
        <f>BH17/BH28</f>
        <v>11.184053212851405</v>
      </c>
      <c r="BI35" s="69"/>
      <c r="BK35" s="68">
        <f>BK17/BK28</f>
        <v>12.334462587398374</v>
      </c>
      <c r="BL35" s="68">
        <f>BL17/BL28</f>
        <v>13.882576080697927</v>
      </c>
      <c r="BM35" s="68">
        <f>BM17/BM28</f>
        <v>10.048824298633017</v>
      </c>
      <c r="BN35" s="68">
        <f>BN17/BN28</f>
        <v>8.6523341198067634</v>
      </c>
      <c r="BO35" s="69"/>
      <c r="BQ35" s="68">
        <f>BQ17/BQ28</f>
        <v>10.178461438223939</v>
      </c>
      <c r="BR35" s="68">
        <f>BR17/BR28</f>
        <v>6.813292452830189</v>
      </c>
      <c r="BS35" s="68">
        <f>BS17/BS28</f>
        <v>7.5753973973973974</v>
      </c>
      <c r="BT35" s="68">
        <f>BT17/BT28</f>
        <v>6.5761592233009711</v>
      </c>
      <c r="BU35" s="69"/>
      <c r="BW35" s="68">
        <f>BW17/BW28</f>
        <v>7.7730146914789415</v>
      </c>
      <c r="BX35" s="68">
        <f>BX17/BX28</f>
        <v>7.3654943396226411</v>
      </c>
      <c r="BY35" s="68">
        <f>BY17/BY28</f>
        <v>8.7530338983050839</v>
      </c>
      <c r="BZ35" s="68">
        <f>BZ17/BZ28</f>
        <v>7.8874921223354955</v>
      </c>
      <c r="CA35" s="69"/>
      <c r="CC35" s="68">
        <f>CC17/CC28</f>
        <v>8.5473429342934288</v>
      </c>
      <c r="CD35" s="68">
        <f>CD17/CD28</f>
        <v>9.4606557093425607</v>
      </c>
      <c r="CE35" s="68">
        <f>CE17/CE28</f>
        <v>8.4359735269000851</v>
      </c>
      <c r="CF35" s="68">
        <f>CF17/CF28</f>
        <v>7.2608365384615396</v>
      </c>
      <c r="CG35" s="69"/>
    </row>
    <row r="36" spans="1:85">
      <c r="AS36" s="9"/>
      <c r="AT36" s="9"/>
      <c r="AU36" s="9"/>
      <c r="AV36" s="9"/>
      <c r="AW36" s="6"/>
      <c r="AY36" s="9"/>
      <c r="AZ36" s="9"/>
      <c r="BA36" s="9"/>
      <c r="BB36" s="9"/>
      <c r="BC36" s="6"/>
      <c r="BE36" s="9"/>
      <c r="BF36" s="9"/>
      <c r="BG36" s="9"/>
      <c r="BH36" s="9"/>
      <c r="BI36" s="6"/>
      <c r="BK36" s="9"/>
      <c r="BL36" s="9"/>
      <c r="BM36" s="9"/>
      <c r="BN36" s="9"/>
      <c r="BO36" s="6"/>
      <c r="BQ36" s="9"/>
      <c r="BR36" s="9"/>
      <c r="BS36" s="9"/>
      <c r="BT36" s="9"/>
      <c r="BU36" s="6"/>
      <c r="BW36" s="9"/>
      <c r="BX36" s="9"/>
      <c r="BY36" s="9"/>
      <c r="BZ36" s="9"/>
      <c r="CA36" s="6"/>
      <c r="CC36" s="9"/>
      <c r="CD36" s="9"/>
      <c r="CE36" s="9"/>
      <c r="CF36" s="9"/>
      <c r="CG36" s="6"/>
    </row>
    <row r="37" spans="1:85">
      <c r="A37" s="10" t="s">
        <v>77</v>
      </c>
      <c r="AS37" s="9"/>
      <c r="AT37" s="9"/>
      <c r="AU37" s="9"/>
      <c r="AV37" s="9"/>
      <c r="AW37" s="6"/>
      <c r="AY37" s="9"/>
      <c r="AZ37" s="9"/>
      <c r="BA37" s="9"/>
      <c r="BB37" s="9"/>
      <c r="BC37" s="6"/>
      <c r="BE37" s="9"/>
      <c r="BF37" s="9"/>
      <c r="BG37" s="9"/>
      <c r="BH37" s="9"/>
      <c r="BI37" s="6"/>
      <c r="BK37" s="9"/>
      <c r="BL37" s="9"/>
      <c r="BM37" s="9"/>
      <c r="BN37" s="9"/>
      <c r="BO37" s="6"/>
      <c r="BQ37" s="9"/>
      <c r="BR37" s="9"/>
      <c r="BS37" s="9"/>
      <c r="BT37" s="9"/>
      <c r="BU37" s="6"/>
      <c r="BW37" s="9"/>
      <c r="BX37" s="9"/>
      <c r="BY37" s="9"/>
      <c r="BZ37" s="9"/>
      <c r="CA37" s="6"/>
      <c r="CC37" s="9"/>
      <c r="CD37" s="9"/>
      <c r="CE37" s="9"/>
      <c r="CF37" s="9"/>
      <c r="CG37" s="6"/>
    </row>
    <row r="38" spans="1:85">
      <c r="A38" s="4" t="s">
        <v>154</v>
      </c>
      <c r="AM38" s="41">
        <f>AM16/AM26</f>
        <v>1.8162705667276051</v>
      </c>
      <c r="AN38" s="41">
        <f>AN16/AN26</f>
        <v>1.93929173693086</v>
      </c>
      <c r="AO38" s="41">
        <f>AO16/AO26</f>
        <v>1.8687196110210698</v>
      </c>
      <c r="AP38" s="41">
        <f>AP16/AP26</f>
        <v>1.4636830520909758</v>
      </c>
      <c r="AS38" s="68">
        <f>AS16/AS26</f>
        <v>1.5686968838526911</v>
      </c>
      <c r="AT38" s="68">
        <f>AT16/AT26</f>
        <v>1.9139566395663956</v>
      </c>
      <c r="AU38" s="68">
        <f>AU16/AU26</f>
        <v>1.8769128409846974</v>
      </c>
      <c r="AV38" s="68">
        <f>AV16/AV26</f>
        <v>1.7384615384615385</v>
      </c>
      <c r="AW38" s="6"/>
      <c r="AY38" s="68">
        <f>AY16/AY26</f>
        <v>1.9993870402802103</v>
      </c>
      <c r="AZ38" s="68">
        <f>AZ16/AZ26</f>
        <v>2.6536410256410257</v>
      </c>
      <c r="BA38" s="68">
        <f>BA16/BA26</f>
        <v>3.0535307517084282</v>
      </c>
      <c r="BB38" s="68">
        <f>BB16/BB26</f>
        <v>2.9144385026737969</v>
      </c>
      <c r="BC38" s="6"/>
      <c r="BE38" s="68">
        <f>BE16/BE26</f>
        <v>3.3176930596285437</v>
      </c>
      <c r="BF38" s="68">
        <f>BF16/BF26</f>
        <v>3.7487636003956477</v>
      </c>
      <c r="BG38" s="68">
        <f>BG16/BG26</f>
        <v>4.0429268292682927</v>
      </c>
      <c r="BH38" s="68">
        <f>BH16/BH26</f>
        <v>4.1675126903553297</v>
      </c>
      <c r="BI38" s="6"/>
      <c r="BK38" s="68">
        <f>BK16/BK26</f>
        <v>4.9649845520082385</v>
      </c>
      <c r="BL38" s="68">
        <f>BL16/BL26</f>
        <v>5.4405286343612334</v>
      </c>
      <c r="BM38" s="68">
        <f>BM16/BM26</f>
        <v>5.0380147835269273</v>
      </c>
      <c r="BN38" s="68">
        <f>BN16/BN26</f>
        <v>4.2750965250965249</v>
      </c>
      <c r="BO38" s="6"/>
      <c r="BQ38" s="68">
        <f>BQ16/BQ26</f>
        <v>4.3017241379310347</v>
      </c>
      <c r="BR38" s="68">
        <f>BR16/BR26</f>
        <v>2.5276995305164318</v>
      </c>
      <c r="BS38" s="68">
        <f>BS16/BS26</f>
        <v>2.7509999999999999</v>
      </c>
      <c r="BT38" s="68">
        <f>BT16/BT26</f>
        <v>1.8373435996150145</v>
      </c>
      <c r="BU38" s="6"/>
      <c r="BW38" s="68">
        <f>BW16/BW26</f>
        <v>2.7056530214424952</v>
      </c>
      <c r="BX38" s="68">
        <f>BX16/BX26</f>
        <v>2.6582397003745317</v>
      </c>
      <c r="BY38" s="68">
        <f>BY16/BY26</f>
        <v>2.565703634669152</v>
      </c>
      <c r="BZ38" s="68">
        <f>BZ16/BZ26</f>
        <v>1.9456221198156682</v>
      </c>
      <c r="CA38" s="6"/>
      <c r="CC38" s="68">
        <f>CC16/CC26</f>
        <v>1.7816399286987523</v>
      </c>
      <c r="CD38" s="68">
        <f>CD16/CD26</f>
        <v>1.7221269296740995</v>
      </c>
      <c r="CE38" s="68">
        <f>CE16/CE26</f>
        <v>1.7957627118644068</v>
      </c>
      <c r="CF38" s="68">
        <f>CF16/CF26</f>
        <v>0.89440504334121351</v>
      </c>
      <c r="CG38" s="6"/>
    </row>
    <row r="39" spans="1:85">
      <c r="AS39" s="9"/>
      <c r="AT39" s="9"/>
      <c r="AU39" s="9"/>
      <c r="AV39" s="9"/>
      <c r="AW39" s="6"/>
      <c r="AY39" s="9"/>
      <c r="AZ39" s="9"/>
      <c r="BA39" s="9"/>
      <c r="BB39" s="9"/>
      <c r="BC39" s="6"/>
      <c r="BE39" s="9"/>
      <c r="BF39" s="9"/>
      <c r="BG39" s="9"/>
      <c r="BH39" s="9"/>
      <c r="BI39" s="6"/>
    </row>
    <row r="40" spans="1:85">
      <c r="AS40" s="9"/>
      <c r="AT40" s="9"/>
      <c r="AU40" s="9"/>
      <c r="AV40" s="9"/>
      <c r="AW40" s="6"/>
      <c r="AY40" s="9"/>
      <c r="AZ40" s="9"/>
      <c r="BA40" s="9"/>
      <c r="BB40" s="9"/>
      <c r="BC40" s="6"/>
      <c r="BE40" s="9"/>
      <c r="BF40" s="9"/>
      <c r="BG40" s="9"/>
      <c r="BH40" s="9"/>
      <c r="BI40" s="6"/>
    </row>
    <row r="42" spans="1:85">
      <c r="AS42" s="77"/>
    </row>
    <row r="43" spans="1:85">
      <c r="AS43" s="77"/>
    </row>
    <row r="45" spans="1:85">
      <c r="AS45" s="79"/>
    </row>
    <row r="46" spans="1:85">
      <c r="AS46" s="79"/>
    </row>
  </sheetData>
  <mergeCells count="28">
    <mergeCell ref="C1:G1"/>
    <mergeCell ref="U2:Y2"/>
    <mergeCell ref="AS1:AW1"/>
    <mergeCell ref="AG1:AK1"/>
    <mergeCell ref="C2:G2"/>
    <mergeCell ref="I2:M2"/>
    <mergeCell ref="O2:S2"/>
    <mergeCell ref="I1:M1"/>
    <mergeCell ref="AG2:AK2"/>
    <mergeCell ref="AM1:AQ1"/>
    <mergeCell ref="O1:S1"/>
    <mergeCell ref="U1:Y1"/>
    <mergeCell ref="AA1:AE1"/>
    <mergeCell ref="AA2:AE2"/>
    <mergeCell ref="AM2:AQ2"/>
    <mergeCell ref="AS2:AW2"/>
    <mergeCell ref="CC1:CG1"/>
    <mergeCell ref="CC2:CG2"/>
    <mergeCell ref="AY1:BC1"/>
    <mergeCell ref="AY2:BC2"/>
    <mergeCell ref="BQ1:BU1"/>
    <mergeCell ref="BQ2:BU2"/>
    <mergeCell ref="BE1:BI1"/>
    <mergeCell ref="BE2:BI2"/>
    <mergeCell ref="BW1:CA1"/>
    <mergeCell ref="BW2:CA2"/>
    <mergeCell ref="BK1:BO1"/>
    <mergeCell ref="BK2:BO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BM29"/>
  <sheetViews>
    <sheetView zoomScaleNormal="100" workbookViewId="0">
      <pane xSplit="1" topLeftCell="AN1" activePane="topRight" state="frozen"/>
      <selection activeCell="D13" sqref="D13:K13"/>
      <selection pane="topRight" activeCell="AX22" sqref="AX22"/>
    </sheetView>
  </sheetViews>
  <sheetFormatPr defaultRowHeight="12.75"/>
  <cols>
    <col min="1" max="1" width="39" customWidth="1"/>
    <col min="11" max="11" width="8.7109375" customWidth="1"/>
    <col min="16" max="16" width="8.7109375" customWidth="1"/>
    <col min="21" max="21" width="8.7109375" customWidth="1"/>
    <col min="26" max="26" width="8.7109375" customWidth="1"/>
    <col min="31" max="31" width="8.7109375" customWidth="1"/>
    <col min="32" max="32" width="12.28515625" bestFit="1" customWidth="1"/>
    <col min="36" max="36" width="8.7109375" customWidth="1"/>
    <col min="37" max="37" width="9" customWidth="1"/>
    <col min="41" max="41" width="8.7109375" customWidth="1"/>
    <col min="46" max="46" width="8.7109375" customWidth="1"/>
  </cols>
  <sheetData>
    <row r="2" spans="1:65">
      <c r="Q2" t="s">
        <v>120</v>
      </c>
    </row>
    <row r="3" spans="1:65">
      <c r="B3" s="103" t="s">
        <v>80</v>
      </c>
      <c r="C3" s="103" t="s">
        <v>81</v>
      </c>
      <c r="D3" s="103" t="s">
        <v>82</v>
      </c>
      <c r="E3" s="103" t="s">
        <v>83</v>
      </c>
      <c r="F3" s="22"/>
      <c r="G3" s="103" t="s">
        <v>84</v>
      </c>
      <c r="H3" s="103" t="s">
        <v>85</v>
      </c>
      <c r="I3" s="103" t="s">
        <v>86</v>
      </c>
      <c r="J3" s="103" t="s">
        <v>87</v>
      </c>
      <c r="K3" s="22"/>
      <c r="L3" s="103" t="s">
        <v>88</v>
      </c>
      <c r="M3" s="103" t="s">
        <v>89</v>
      </c>
      <c r="N3" s="103" t="s">
        <v>90</v>
      </c>
      <c r="O3" s="103" t="s">
        <v>91</v>
      </c>
      <c r="P3" s="22"/>
      <c r="Q3" s="103" t="s">
        <v>92</v>
      </c>
      <c r="R3" s="103" t="s">
        <v>95</v>
      </c>
      <c r="S3" s="103" t="s">
        <v>96</v>
      </c>
      <c r="T3" s="103" t="s">
        <v>98</v>
      </c>
      <c r="U3" s="22"/>
      <c r="V3" s="103" t="s">
        <v>99</v>
      </c>
      <c r="W3" s="103" t="s">
        <v>93</v>
      </c>
      <c r="X3" s="103" t="s">
        <v>100</v>
      </c>
      <c r="Y3" s="103" t="s">
        <v>97</v>
      </c>
      <c r="Z3" s="22"/>
      <c r="AA3" s="103" t="s">
        <v>101</v>
      </c>
      <c r="AB3" s="103" t="s">
        <v>102</v>
      </c>
      <c r="AC3" s="103" t="s">
        <v>94</v>
      </c>
      <c r="AD3" s="103" t="s">
        <v>108</v>
      </c>
      <c r="AE3" s="22"/>
      <c r="AF3" s="103" t="s">
        <v>110</v>
      </c>
      <c r="AG3" s="103" t="s">
        <v>112</v>
      </c>
      <c r="AH3" s="103" t="s">
        <v>114</v>
      </c>
      <c r="AI3" s="103" t="s">
        <v>117</v>
      </c>
      <c r="AJ3" s="22"/>
      <c r="AK3" s="103" t="s">
        <v>150</v>
      </c>
      <c r="AL3" s="103" t="s">
        <v>151</v>
      </c>
      <c r="AM3" s="103" t="s">
        <v>152</v>
      </c>
      <c r="AN3" s="103" t="s">
        <v>157</v>
      </c>
      <c r="AO3" s="22"/>
      <c r="AP3" s="103" t="s">
        <v>162</v>
      </c>
      <c r="AQ3" s="103" t="s">
        <v>163</v>
      </c>
      <c r="AR3" s="103" t="s">
        <v>164</v>
      </c>
      <c r="AS3" s="103" t="s">
        <v>166</v>
      </c>
      <c r="AT3" s="22"/>
      <c r="AU3" s="103" t="s">
        <v>167</v>
      </c>
      <c r="AV3" s="103" t="s">
        <v>169</v>
      </c>
      <c r="AW3" s="103" t="s">
        <v>173</v>
      </c>
      <c r="AX3" s="103" t="s">
        <v>174</v>
      </c>
      <c r="AY3" s="22"/>
      <c r="AZ3" s="103" t="s">
        <v>177</v>
      </c>
      <c r="BA3" s="103" t="s">
        <v>178</v>
      </c>
      <c r="BB3" s="103" t="s">
        <v>179</v>
      </c>
      <c r="BC3" s="103" t="s">
        <v>180</v>
      </c>
      <c r="BE3" s="103" t="s">
        <v>189</v>
      </c>
      <c r="BF3" s="103" t="s">
        <v>190</v>
      </c>
      <c r="BG3" s="103" t="s">
        <v>191</v>
      </c>
      <c r="BH3" s="103" t="s">
        <v>192</v>
      </c>
      <c r="BJ3" s="103" t="s">
        <v>194</v>
      </c>
      <c r="BK3" s="103" t="s">
        <v>195</v>
      </c>
      <c r="BL3" s="103" t="s">
        <v>196</v>
      </c>
      <c r="BM3" s="103" t="s">
        <v>200</v>
      </c>
    </row>
    <row r="4" spans="1:65">
      <c r="A4" s="100" t="s">
        <v>215</v>
      </c>
      <c r="B4" s="70"/>
      <c r="C4" s="70"/>
      <c r="D4" s="70"/>
      <c r="E4" s="70"/>
      <c r="G4" s="70"/>
      <c r="H4" s="70"/>
      <c r="I4" s="70"/>
      <c r="J4" s="70"/>
      <c r="L4" s="70"/>
      <c r="M4" s="70"/>
      <c r="N4" s="70"/>
      <c r="O4" s="70"/>
      <c r="Q4" s="70"/>
      <c r="R4" s="70"/>
      <c r="S4" s="70"/>
      <c r="T4" s="70"/>
      <c r="V4" s="70"/>
      <c r="W4" s="70"/>
      <c r="X4" s="70"/>
      <c r="Y4" s="70"/>
      <c r="AA4" s="70"/>
      <c r="AB4" s="70"/>
      <c r="AC4" s="70"/>
      <c r="AD4" s="70"/>
      <c r="AF4" s="70">
        <f>+AF10-AF11</f>
        <v>1260</v>
      </c>
      <c r="AG4" s="70">
        <f>+AG10-AG11</f>
        <v>1268</v>
      </c>
      <c r="AH4" s="70">
        <f>+AH10-AH11</f>
        <v>1240</v>
      </c>
      <c r="AI4" s="70">
        <f>+AI10-AI11</f>
        <v>1078</v>
      </c>
      <c r="AJ4" s="101"/>
      <c r="AK4" s="70">
        <f>+AK10-AK11</f>
        <v>930</v>
      </c>
      <c r="AL4" s="70">
        <f>+AL10-AL11</f>
        <v>811</v>
      </c>
      <c r="AM4" s="70">
        <f>+AM10-AM11</f>
        <v>751</v>
      </c>
      <c r="AN4" s="70">
        <f>+AN10-AN11</f>
        <v>799</v>
      </c>
      <c r="AO4" s="101"/>
      <c r="AP4" s="70">
        <f>+AP10-AP11</f>
        <v>908</v>
      </c>
      <c r="AQ4" s="70">
        <f>+AQ10-AQ11</f>
        <v>916</v>
      </c>
      <c r="AR4" s="70">
        <f>+AR10-AR11</f>
        <v>951</v>
      </c>
      <c r="AS4" s="70">
        <f>+AS10-AS11</f>
        <v>895</v>
      </c>
      <c r="AU4" s="70">
        <f>+AU10-AU11</f>
        <v>869</v>
      </c>
      <c r="AV4" s="70">
        <f>+AV10-AV11</f>
        <v>808</v>
      </c>
      <c r="AW4" s="70">
        <f>+AW10-AW11</f>
        <v>775</v>
      </c>
      <c r="AX4" s="70">
        <f>+AX10-AX11</f>
        <v>878</v>
      </c>
      <c r="AZ4" s="70">
        <f>+AZ10-AZ11</f>
        <v>914</v>
      </c>
      <c r="BA4" s="70">
        <f>+BA10-BA11</f>
        <v>956</v>
      </c>
      <c r="BB4" s="70">
        <f>+BB10-BB11</f>
        <v>981</v>
      </c>
      <c r="BC4" s="70">
        <f>+BC10-BC11</f>
        <v>1039</v>
      </c>
      <c r="BE4" s="70">
        <f>+BE10-BE11</f>
        <v>1026</v>
      </c>
      <c r="BF4" s="70">
        <f>+BF10-BF11</f>
        <v>1068</v>
      </c>
      <c r="BG4" s="70">
        <f>+BG10-BG11</f>
        <v>1073</v>
      </c>
      <c r="BH4" s="70">
        <f>+BH10-BH11</f>
        <v>1085</v>
      </c>
      <c r="BJ4" s="70">
        <f>+BJ10-BJ11</f>
        <v>1122</v>
      </c>
      <c r="BK4" s="70">
        <f>+BK10-BK11</f>
        <v>1166</v>
      </c>
      <c r="BL4" s="70">
        <f>+BL10-BL11</f>
        <v>1180</v>
      </c>
      <c r="BM4" s="70">
        <f>+BM10-BM11</f>
        <v>1269</v>
      </c>
    </row>
    <row r="5" spans="1:65">
      <c r="A5" s="100" t="s">
        <v>186</v>
      </c>
      <c r="B5" s="56"/>
      <c r="C5" s="56"/>
      <c r="D5" s="56"/>
      <c r="E5" s="56"/>
      <c r="G5" s="56"/>
      <c r="H5" s="56"/>
      <c r="I5" s="56"/>
      <c r="J5" s="56"/>
      <c r="L5" s="56"/>
      <c r="M5" s="56"/>
      <c r="N5" s="56"/>
      <c r="O5" s="56"/>
      <c r="Q5" s="56"/>
      <c r="R5" s="56"/>
      <c r="S5" s="56"/>
      <c r="T5" s="56"/>
      <c r="V5" s="56"/>
      <c r="W5" s="56"/>
      <c r="X5" s="56"/>
      <c r="Y5" s="56"/>
      <c r="AA5" s="56"/>
      <c r="AB5" s="56"/>
      <c r="AC5" s="56"/>
      <c r="AD5" s="56"/>
      <c r="AF5" s="56">
        <f>+AF4/AF12</f>
        <v>9.1563113145846961E-2</v>
      </c>
      <c r="AG5" s="56">
        <f>+AG4/AG12</f>
        <v>9.0974314822786631E-2</v>
      </c>
      <c r="AH5" s="56">
        <f>+AH4/AH12</f>
        <v>8.7880935506732816E-2</v>
      </c>
      <c r="AI5" s="56">
        <f>+AI4/AI12</f>
        <v>7.7957766849869825E-2</v>
      </c>
      <c r="AK5" s="56">
        <f>+AK4/AK12</f>
        <v>7.1008627930060325E-2</v>
      </c>
      <c r="AL5" s="56">
        <f>+AL4/AL12</f>
        <v>6.5130099582396406E-2</v>
      </c>
      <c r="AM5" s="56">
        <f>+AM4/AM12</f>
        <v>6.3082738345233091E-2</v>
      </c>
      <c r="AN5" s="56">
        <f>+AN4/AN12</f>
        <v>6.8366561136305293E-2</v>
      </c>
      <c r="AP5" s="56">
        <f>+AP4/AP12</f>
        <v>7.4954597985801549E-2</v>
      </c>
      <c r="AQ5" s="56">
        <f>+AQ4/AQ12</f>
        <v>7.2669575565251887E-2</v>
      </c>
      <c r="AR5" s="56">
        <f>+AR4/AR12</f>
        <v>7.124129148250806E-2</v>
      </c>
      <c r="AS5" s="56">
        <f>+AS4/AS12</f>
        <v>6.1933430212442048E-2</v>
      </c>
      <c r="AU5" s="56">
        <f>+AU4/AU12</f>
        <v>5.7306779213927725E-2</v>
      </c>
      <c r="AV5" s="56">
        <f>+AV4/AV12</f>
        <v>5.198147195059187E-2</v>
      </c>
      <c r="AW5" s="56">
        <f>+AW4/AW12</f>
        <v>4.9265780942088867E-2</v>
      </c>
      <c r="AX5" s="56">
        <f>+AX4/AX12</f>
        <v>5.6267623686234301E-2</v>
      </c>
      <c r="AZ5" s="56">
        <f>+AZ4/AZ12</f>
        <v>5.9501334548531994E-2</v>
      </c>
      <c r="BA5" s="56">
        <f>+BA4/BA12</f>
        <v>6.2692635582661152E-2</v>
      </c>
      <c r="BB5" s="56">
        <f>+BB4/BB12</f>
        <v>6.4739655513759653E-2</v>
      </c>
      <c r="BC5" s="56">
        <f>+BC4/BC12</f>
        <v>6.8117747328394415E-2</v>
      </c>
      <c r="BE5" s="56">
        <f>+BE4/BE12</f>
        <v>6.7362615717943664E-2</v>
      </c>
      <c r="BF5" s="56">
        <f>+BF4/BF12</f>
        <v>6.9508623494956068E-2</v>
      </c>
      <c r="BG5" s="56">
        <f>+BG4/BG12</f>
        <v>6.8667605273262516E-2</v>
      </c>
      <c r="BH5" s="56">
        <f>+BH4/BH12</f>
        <v>6.8631792017205387E-2</v>
      </c>
      <c r="BJ5" s="56">
        <f>+BJ4/BJ12</f>
        <v>6.9409217445097426E-2</v>
      </c>
      <c r="BK5" s="56">
        <f>+BK4/BK12</f>
        <v>7.2175796966883324E-2</v>
      </c>
      <c r="BL5" s="56">
        <f>+BL4/BL12</f>
        <v>7.3639540688966554E-2</v>
      </c>
      <c r="BM5" s="56">
        <f>+BM4/BM12</f>
        <v>7.9997478408875999E-2</v>
      </c>
    </row>
    <row r="6" spans="1:65">
      <c r="A6" s="100" t="s">
        <v>187</v>
      </c>
      <c r="T6" s="56"/>
      <c r="V6" s="56"/>
      <c r="W6" s="56"/>
      <c r="X6" s="56"/>
      <c r="Y6" s="56"/>
      <c r="AA6" s="56"/>
      <c r="AB6" s="56"/>
      <c r="AC6" s="56"/>
      <c r="AD6" s="56"/>
      <c r="AF6" s="56">
        <f>+AF4/AF13</f>
        <v>0.11498448622011316</v>
      </c>
      <c r="AG6" s="56">
        <f>+AG4/AG13</f>
        <v>0.1135183527305282</v>
      </c>
      <c r="AH6" s="56">
        <f>+AH4/AH13</f>
        <v>0.10910690717113947</v>
      </c>
      <c r="AI6" s="56">
        <f>+AI4/AI13</f>
        <v>9.5626718708418351E-2</v>
      </c>
      <c r="AK6" s="56">
        <f>+AK4/AK13</f>
        <v>8.5188238527067875E-2</v>
      </c>
      <c r="AL6" s="56">
        <f>+AL4/AL13</f>
        <v>7.7039992400493973E-2</v>
      </c>
      <c r="AM6" s="56">
        <f>+AM4/AM13</f>
        <v>7.3801100628930819E-2</v>
      </c>
      <c r="AN6" s="56">
        <f>+AN4/AN13</f>
        <v>8.0301507537688444E-2</v>
      </c>
      <c r="AP6" s="56">
        <f>+AP4/AP13</f>
        <v>8.9892089892089896E-2</v>
      </c>
      <c r="AQ6" s="56">
        <f>+AQ4/AQ13</f>
        <v>8.8391392453922607E-2</v>
      </c>
      <c r="AR6" s="56">
        <f>+AR4/AR13</f>
        <v>8.7706354329982472E-2</v>
      </c>
      <c r="AS6" s="56">
        <f>+AS4/AS13</f>
        <v>7.7975257013416968E-2</v>
      </c>
      <c r="AU6" s="56">
        <f>+AU4/AU13</f>
        <v>7.3345712356515866E-2</v>
      </c>
      <c r="AV6" s="56">
        <f>+AV4/AV13</f>
        <v>6.7496449753571136E-2</v>
      </c>
      <c r="AW6" s="56">
        <f>+AW4/AW13</f>
        <v>6.4288676897552882E-2</v>
      </c>
      <c r="AX6" s="56">
        <f>+AX4/AX13</f>
        <v>7.2257427372232744E-2</v>
      </c>
      <c r="AZ6" s="56">
        <f>+AZ4/AZ13</f>
        <v>7.5574665123201587E-2</v>
      </c>
      <c r="BA6" s="56">
        <f>+BA4/BA13</f>
        <v>7.903439153439154E-2</v>
      </c>
      <c r="BB6" s="56">
        <f>+BB4/BB13</f>
        <v>8.1040892193308553E-2</v>
      </c>
      <c r="BC6" s="56">
        <f>+BC4/BC13</f>
        <v>8.5528482054659197E-2</v>
      </c>
      <c r="BE6" s="56">
        <f>+BE4/BE13</f>
        <v>8.4091467912466189E-2</v>
      </c>
      <c r="BF6" s="56">
        <f>+BF4/BF13</f>
        <v>8.6226384627805588E-2</v>
      </c>
      <c r="BG6" s="56">
        <f>+BG4/BG13</f>
        <v>8.4943001899936671E-2</v>
      </c>
      <c r="BH6" s="56">
        <f>+BH4/BH13</f>
        <v>8.448181888966752E-2</v>
      </c>
      <c r="BJ6" s="56">
        <f>+BJ4/BJ13</f>
        <v>8.5238927296209077E-2</v>
      </c>
      <c r="BK6" s="56">
        <f>+BK4/BK13</f>
        <v>8.8093079480205505E-2</v>
      </c>
      <c r="BL6" s="56">
        <f>+BL4/BL13</f>
        <v>8.9157536834151868E-2</v>
      </c>
      <c r="BM6" s="56">
        <f>+BM4/BM13</f>
        <v>9.6282245827010629E-2</v>
      </c>
    </row>
    <row r="10" spans="1:65">
      <c r="A10" t="s">
        <v>184</v>
      </c>
      <c r="B10" s="55">
        <f>Valuation!I26-Valuation!I24</f>
        <v>194</v>
      </c>
      <c r="C10" s="55">
        <f>Valuation!J26-Valuation!J24</f>
        <v>175</v>
      </c>
      <c r="D10" s="55">
        <f>Valuation!K26-Valuation!K24</f>
        <v>178</v>
      </c>
      <c r="E10" s="55">
        <f>Valuation!L26-Valuation!L24</f>
        <v>164</v>
      </c>
      <c r="F10" s="55"/>
      <c r="G10" s="55">
        <f>Valuation!O26-Valuation!O24</f>
        <v>218</v>
      </c>
      <c r="H10" s="55">
        <f>Valuation!P26-Valuation!P24</f>
        <v>244</v>
      </c>
      <c r="I10" s="55">
        <f>Valuation!Q26-Valuation!Q24</f>
        <v>296</v>
      </c>
      <c r="J10" s="55">
        <f>Valuation!R26-Valuation!R24</f>
        <v>360</v>
      </c>
      <c r="K10" s="55"/>
      <c r="L10" s="55">
        <f>Valuation!U26-Valuation!U24</f>
        <v>371</v>
      </c>
      <c r="M10" s="55">
        <f>Valuation!V26-Valuation!V24</f>
        <v>419</v>
      </c>
      <c r="N10" s="55">
        <f>Valuation!W26-Valuation!W24</f>
        <v>444</v>
      </c>
      <c r="O10" s="55">
        <f>Valuation!X26-Valuation!X24</f>
        <v>454</v>
      </c>
      <c r="P10" s="55"/>
      <c r="Q10" s="55">
        <f>Valuation!AA26-Valuation!AA24</f>
        <v>503</v>
      </c>
      <c r="R10" s="55">
        <f>Valuation!AB26-Valuation!AB24</f>
        <v>563</v>
      </c>
      <c r="S10" s="55">
        <f>Valuation!AC26-Valuation!AC24</f>
        <v>634</v>
      </c>
      <c r="T10" s="55">
        <f>Valuation!AD26-Valuation!AD24</f>
        <v>709</v>
      </c>
      <c r="U10" s="55"/>
      <c r="V10" s="55">
        <f>Valuation!AG26-Valuation!AG24</f>
        <v>760</v>
      </c>
      <c r="W10" s="55">
        <f>Valuation!AH26-Valuation!AH24</f>
        <v>829</v>
      </c>
      <c r="X10" s="55">
        <f>Valuation!AI26-Valuation!AI24</f>
        <v>890</v>
      </c>
      <c r="Y10" s="55">
        <f>Valuation!AJ26-Valuation!AJ24</f>
        <v>914</v>
      </c>
      <c r="Z10" s="55"/>
      <c r="AA10" s="55">
        <f>Valuation!AM26-Valuation!AM24</f>
        <v>994</v>
      </c>
      <c r="AB10" s="55">
        <f>Valuation!AN26-Valuation!AN24</f>
        <v>1126</v>
      </c>
      <c r="AC10" s="55">
        <f>Valuation!AO26-Valuation!AO24</f>
        <v>1204</v>
      </c>
      <c r="AD10" s="55">
        <f>Valuation!AP26-Valuation!AP24</f>
        <v>1363</v>
      </c>
      <c r="AF10" s="55">
        <f>Valuation!AS26-Valuation!AS24</f>
        <v>1412</v>
      </c>
      <c r="AG10" s="55">
        <f>Valuation!AT26-Valuation!AT24</f>
        <v>1476</v>
      </c>
      <c r="AH10" s="55">
        <f>Valuation!AU26-Valuation!AU24</f>
        <v>1503</v>
      </c>
      <c r="AI10" s="55">
        <f>Valuation!AV26-Valuation!AV24</f>
        <v>1300</v>
      </c>
      <c r="AK10" s="55">
        <f>Valuation!AY26-Valuation!AY24</f>
        <v>1142</v>
      </c>
      <c r="AL10" s="70">
        <f>Valuation!AZ26-Valuation!AZ24</f>
        <v>975</v>
      </c>
      <c r="AM10" s="70">
        <f>Valuation!BA26-Valuation!BA24</f>
        <v>878</v>
      </c>
      <c r="AN10" s="70">
        <f>Valuation!BB26-Valuation!BB24</f>
        <v>935</v>
      </c>
      <c r="AP10" s="70">
        <f>Valuation!BE26-Valuation!BE24</f>
        <v>1023</v>
      </c>
      <c r="AQ10" s="70">
        <f>Valuation!BF26-Valuation!BF24</f>
        <v>1011</v>
      </c>
      <c r="AR10" s="70">
        <f>Valuation!BG26-Valuation!BG24</f>
        <v>1025</v>
      </c>
      <c r="AS10" s="70">
        <f>Valuation!BH26-Valuation!BH24</f>
        <v>985</v>
      </c>
      <c r="AU10" s="70">
        <f>Valuation!BK26-Valuation!BK24</f>
        <v>971</v>
      </c>
      <c r="AV10" s="70">
        <f>Valuation!BL26-Valuation!BL24</f>
        <v>908</v>
      </c>
      <c r="AW10" s="70">
        <f>Valuation!BM26-Valuation!BM24</f>
        <v>947</v>
      </c>
      <c r="AX10" s="70">
        <f>Valuation!BN26-Valuation!BN24</f>
        <v>1036</v>
      </c>
      <c r="AZ10" s="70">
        <f>+Valuation!BQ26</f>
        <v>1044</v>
      </c>
      <c r="BA10" s="70">
        <f>+Valuation!BR26</f>
        <v>1065</v>
      </c>
      <c r="BB10" s="70">
        <f>+Valuation!BS26</f>
        <v>1000</v>
      </c>
      <c r="BC10" s="70">
        <f>+Valuation!BT26</f>
        <v>1039</v>
      </c>
      <c r="BE10" s="70">
        <f>+Valuation!BW26</f>
        <v>1026</v>
      </c>
      <c r="BF10" s="70">
        <f>+Valuation!BX26</f>
        <v>1068</v>
      </c>
      <c r="BG10" s="70">
        <f>+Valuation!BY26</f>
        <v>1073</v>
      </c>
      <c r="BH10" s="70">
        <f>+Valuation!BZ26</f>
        <v>1085</v>
      </c>
      <c r="BJ10" s="70">
        <f>+Valuation!CC26</f>
        <v>1122</v>
      </c>
      <c r="BK10" s="70">
        <f>+Valuation!CD26</f>
        <v>1166</v>
      </c>
      <c r="BL10" s="70">
        <f>+Valuation!CE26</f>
        <v>1180</v>
      </c>
      <c r="BM10" s="70">
        <f>+Valuation!CF26</f>
        <v>1269</v>
      </c>
    </row>
    <row r="11" spans="1:65">
      <c r="A11" t="s">
        <v>185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F11" s="55">
        <f>+'Segment Data'!AY35+'Segment Data'!AV35+'Segment Data'!AU35+'Segment Data'!AT35</f>
        <v>152</v>
      </c>
      <c r="AG11" s="55">
        <f>+'Segment Data'!AZ35+'Segment Data'!AY35+'Segment Data'!AV35+'Segment Data'!AU35</f>
        <v>208</v>
      </c>
      <c r="AH11" s="55">
        <f>+'Segment Data'!BA35+'Segment Data'!AZ35+'Segment Data'!AY35+'Segment Data'!AV35</f>
        <v>263</v>
      </c>
      <c r="AI11" s="55">
        <f>+'Segment Data'!BC35</f>
        <v>222</v>
      </c>
      <c r="AK11" s="55">
        <f>+'Segment Data'!BE35+'Segment Data'!BB35+'Segment Data'!BA35+'Segment Data'!AZ35</f>
        <v>212</v>
      </c>
      <c r="AL11" s="70">
        <f>+'Segment Data'!BF35+'Segment Data'!BE35+'Segment Data'!BB35+'Segment Data'!BA35</f>
        <v>164</v>
      </c>
      <c r="AM11" s="70">
        <f>+'Segment Data'!BG35+'Segment Data'!BF35+'Segment Data'!BE35+'Segment Data'!BB35</f>
        <v>127</v>
      </c>
      <c r="AN11" s="70">
        <f>+'Segment Data'!BI35</f>
        <v>136</v>
      </c>
      <c r="AP11" s="70">
        <f>+'Segment Data'!BK35+'Segment Data'!BH35+'Segment Data'!BG35+'Segment Data'!BF35</f>
        <v>115</v>
      </c>
      <c r="AQ11" s="70">
        <f>+'Segment Data'!BL35+'Segment Data'!BK35+'Segment Data'!BH35+'Segment Data'!BG35</f>
        <v>95</v>
      </c>
      <c r="AR11" s="70">
        <f>+'Segment Data'!BM35+'Segment Data'!BL35+'Segment Data'!BK35+'Segment Data'!BH35</f>
        <v>74</v>
      </c>
      <c r="AS11" s="70">
        <f>+'Segment Data'!BO35</f>
        <v>90</v>
      </c>
      <c r="AU11" s="70">
        <f>+'Segment Data'!BQ35+'Segment Data'!BN35+'Segment Data'!BM35+'Segment Data'!BL35</f>
        <v>102</v>
      </c>
      <c r="AV11" s="70">
        <f>+'Segment Data'!BR35+'Segment Data'!BQ35+'Segment Data'!BN35+'Segment Data'!BM35</f>
        <v>100</v>
      </c>
      <c r="AW11" s="70">
        <f>+'Segment Data'!BS35+'Segment Data'!BR35+'Segment Data'!BQ35+'Segment Data'!BN35</f>
        <v>172</v>
      </c>
      <c r="AX11" s="70">
        <f>+'Segment Data'!BU35</f>
        <v>158</v>
      </c>
      <c r="AZ11" s="70">
        <f>+'Segment Data'!BW35+'Segment Data'!BT35+'Segment Data'!BS35+'Segment Data'!BR35</f>
        <v>130</v>
      </c>
      <c r="BA11" s="70">
        <f>+'Segment Data'!BX35+'Segment Data'!BW35+'Segment Data'!BT35+'Segment Data'!BS35</f>
        <v>109</v>
      </c>
      <c r="BB11" s="70">
        <f>+'Segment Data'!BY35+'Segment Data'!BX35+'Segment Data'!BW35+'Segment Data'!BT35</f>
        <v>19</v>
      </c>
      <c r="BC11" s="70">
        <f>+'Segment Data'!CA35</f>
        <v>0</v>
      </c>
      <c r="BE11" s="70"/>
      <c r="BF11" s="70"/>
      <c r="BG11" s="70"/>
      <c r="BH11" s="70"/>
      <c r="BJ11" s="70"/>
      <c r="BK11" s="70"/>
      <c r="BL11" s="70"/>
      <c r="BM11" s="70"/>
    </row>
    <row r="12" spans="1:65">
      <c r="A12" t="s">
        <v>103</v>
      </c>
      <c r="B12" s="55">
        <f>'Segment Data'!D14+'Segment Data'!E14+'Segment Data'!F14+'Segment Data'!I14</f>
        <v>6239</v>
      </c>
      <c r="C12" s="55">
        <f>'Segment Data'!E14+'Segment Data'!F14+'Segment Data'!I14+'Segment Data'!J14</f>
        <v>6087</v>
      </c>
      <c r="D12" s="55">
        <f>'Segment Data'!F14+'Segment Data'!I14+'Segment Data'!J14+'Segment Data'!K14</f>
        <v>5986</v>
      </c>
      <c r="E12" s="55">
        <f>'Segment Data'!I14+'Segment Data'!J14+'Segment Data'!K14+'Segment Data'!L14</f>
        <v>5889</v>
      </c>
      <c r="G12" s="55">
        <f>'Segment Data'!J14+'Segment Data'!K14+'Segment Data'!L14+'Segment Data'!O14</f>
        <v>5872</v>
      </c>
      <c r="H12" s="55">
        <f>'Segment Data'!K14+'Segment Data'!L14+'Segment Data'!O14+'Segment Data'!P14</f>
        <v>5810</v>
      </c>
      <c r="I12" s="55">
        <f>'Segment Data'!L14+'Segment Data'!O14+'Segment Data'!P14+'Segment Data'!Q14</f>
        <v>5822</v>
      </c>
      <c r="J12" s="55">
        <f>'Segment Data'!O14+'Segment Data'!P14+'Segment Data'!Q14+'Segment Data'!R14</f>
        <v>5824</v>
      </c>
      <c r="L12" s="55">
        <f>'Segment Data'!P14+'Segment Data'!Q14+'Segment Data'!R14+'Segment Data'!AA14</f>
        <v>5794</v>
      </c>
      <c r="M12" s="55">
        <f>'Segment Data'!Q14+'Segment Data'!R14+'Segment Data'!AA14+'Segment Data'!AB14</f>
        <v>6181</v>
      </c>
      <c r="N12" s="55">
        <f>'Segment Data'!R14+'Segment Data'!AA14+'Segment Data'!AB14+'Segment Data'!AC14</f>
        <v>6626</v>
      </c>
      <c r="O12" s="55">
        <f>'Segment Data'!AA14+'Segment Data'!AB14+'Segment Data'!AC14+'Segment Data'!AD14</f>
        <v>7138</v>
      </c>
      <c r="Q12" s="55">
        <f>'Segment Data'!AB14+'Segment Data'!AC14+'Segment Data'!AD14+'Segment Data'!AG14</f>
        <v>7700</v>
      </c>
      <c r="R12" s="55">
        <f>'Segment Data'!AC14+'Segment Data'!AD14+'Segment Data'!AG14+'Segment Data'!AH14</f>
        <v>8137</v>
      </c>
      <c r="S12" s="55">
        <f>'Segment Data'!AD14+'Segment Data'!AG14+'Segment Data'!AH14+'Segment Data'!AI14</f>
        <v>8391</v>
      </c>
      <c r="T12" s="55">
        <f>'Segment Data'!AG14+'Segment Data'!AH14+'Segment Data'!AI14+'Segment Data'!AJ14</f>
        <v>8750</v>
      </c>
      <c r="V12" s="55">
        <f>'Segment Data'!AH14+'Segment Data'!AI14+'Segment Data'!AJ14+'Segment Data'!AM14</f>
        <v>9296</v>
      </c>
      <c r="W12" s="55">
        <f>'Segment Data'!AI14+'Segment Data'!AJ14+'Segment Data'!AM14+'Segment Data'!AN14</f>
        <v>9841</v>
      </c>
      <c r="X12" s="55">
        <f>'Segment Data'!AJ14+'Segment Data'!AM14+'Segment Data'!AN14+'Segment Data'!AO14</f>
        <v>10313</v>
      </c>
      <c r="Y12" s="55">
        <f>'Segment Data'!AM14+'Segment Data'!AN14+'Segment Data'!AO14+'Segment Data'!AP14</f>
        <v>10815</v>
      </c>
      <c r="AA12" s="55">
        <f>'Segment Data'!AN14+'Segment Data'!AO14+'Segment Data'!AP14+'Segment Data'!AS14</f>
        <v>11533</v>
      </c>
      <c r="AB12" s="55">
        <f>'Segment Data'!AO14+'Segment Data'!AP14+'Segment Data'!AS14+'Segment Data'!AT14</f>
        <v>12308</v>
      </c>
      <c r="AC12" s="55">
        <f>'Segment Data'!AP14+'Segment Data'!AS14+'Segment Data'!AT14+'Segment Data'!AU14</f>
        <v>12961</v>
      </c>
      <c r="AD12" s="55">
        <v>13525</v>
      </c>
      <c r="AF12" s="55">
        <f>+'Segment Data'!AY14+'Segment Data'!AV14+'Segment Data'!AU14+'Segment Data'!AT14</f>
        <v>13761</v>
      </c>
      <c r="AG12" s="55">
        <f>+'Segment Data'!AZ14+'Segment Data'!AY14+'Segment Data'!AV14+'Segment Data'!AU14</f>
        <v>13938</v>
      </c>
      <c r="AH12" s="55">
        <f>+'Segment Data'!BA14+'Segment Data'!AZ14+'Segment Data'!AY14+'Segment Data'!AV14</f>
        <v>14110</v>
      </c>
      <c r="AI12" s="55">
        <f>+'Segment Data'!BC14</f>
        <v>13828</v>
      </c>
      <c r="AK12" s="78">
        <f>+'Segment Data'!BE14+'Segment Data'!BB14+'Segment Data'!BA14+'Segment Data'!AZ14</f>
        <v>13097</v>
      </c>
      <c r="AL12" s="55">
        <f>+'Segment Data'!BA14+'Segment Data'!BB14+'Segment Data'!BE14+'Segment Data'!BF14</f>
        <v>12452</v>
      </c>
      <c r="AM12" s="55">
        <f>+'Segment Data'!BB14+'Segment Data'!BE14+'Segment Data'!BF14+'Segment Data'!BG14</f>
        <v>11905</v>
      </c>
      <c r="AN12" s="70">
        <f>'Segment Data'!BI14</f>
        <v>11687</v>
      </c>
      <c r="AP12" s="70">
        <f>'Segment Data'!BK14+'Segment Data'!BH14+'Segment Data'!BG14+'Segment Data'!BF14</f>
        <v>12114</v>
      </c>
      <c r="AQ12" s="70">
        <f>+'Segment Data'!BL14+'Segment Data'!BK14+'Segment Data'!BH14+'Segment Data'!BG14</f>
        <v>12605</v>
      </c>
      <c r="AR12" s="55">
        <f>+'Segment Data'!BM14+'Segment Data'!BL14+'Segment Data'!BK14+'Segment Data'!BH14</f>
        <v>13349</v>
      </c>
      <c r="AS12" s="55">
        <f>+'Segment Data'!BO14</f>
        <v>14451</v>
      </c>
      <c r="AU12" s="70">
        <f>'Segment Data'!BQ14+'Segment Data'!BN14+'Segment Data'!BM14+'Segment Data'!BL14+1</f>
        <v>15164</v>
      </c>
      <c r="AV12" s="70">
        <f>+'Segment Data'!BR14+'Segment Data'!BQ14+'Segment Data'!BN14+'Segment Data'!BM14</f>
        <v>15544</v>
      </c>
      <c r="AW12" s="70">
        <f>+'Segment Data'!BS14+'Segment Data'!BR14+'Segment Data'!BQ14+'Segment Data'!BN14</f>
        <v>15731</v>
      </c>
      <c r="AX12" s="70">
        <f>+'Segment Data'!BU14</f>
        <v>15604</v>
      </c>
      <c r="AZ12" s="55">
        <f>+'Segment Data'!BW14+'Segment Data'!BT14+'Segment Data'!BS14+'Segment Data'!BR14</f>
        <v>15361</v>
      </c>
      <c r="BA12" s="70">
        <f>+'Segment Data'!BX14+'Segment Data'!BW14+'Segment Data'!BT14+'Segment Data'!BS14</f>
        <v>15249</v>
      </c>
      <c r="BB12" s="70">
        <f>+'Segment Data'!BY14+'Segment Data'!BX14+'Segment Data'!BW14+'Segment Data'!BT14</f>
        <v>15153</v>
      </c>
      <c r="BC12" s="70">
        <f>+'Segment Data'!CA14</f>
        <v>15253</v>
      </c>
      <c r="BE12" s="55">
        <f>+'Segment Data'!CC14+'Segment Data'!BZ14+'Segment Data'!BY14+'Segment Data'!BX14</f>
        <v>15231</v>
      </c>
      <c r="BF12" s="70">
        <f>+'Segment Data'!CD14+'Segment Data'!CC14+'Segment Data'!BZ14+'Segment Data'!BY14</f>
        <v>15365</v>
      </c>
      <c r="BG12" s="70">
        <f>+'Segment Data'!CE14+'Segment Data'!CD14+'Segment Data'!CC14+'Segment Data'!BZ14</f>
        <v>15626</v>
      </c>
      <c r="BH12" s="70">
        <f>+'Segment Data'!CG14</f>
        <v>15809</v>
      </c>
      <c r="BJ12" s="70">
        <f>+'Segment Data'!CD14+'Segment Data'!CE14+'Segment Data'!CF14+'Segment Data'!CI14</f>
        <v>16165</v>
      </c>
      <c r="BK12" s="70">
        <f>+'Segment Data'!CE14+'Segment Data'!CF14+'Segment Data'!CI14+'Segment Data'!CJ14</f>
        <v>16155</v>
      </c>
      <c r="BL12" s="70">
        <f>+'Segment Data'!CK14+'Segment Data'!CJ14+'Segment Data'!CI14+'Segment Data'!CF14</f>
        <v>16024</v>
      </c>
      <c r="BM12" s="70">
        <f>+'Segment Data'!CM14</f>
        <v>15863</v>
      </c>
    </row>
    <row r="13" spans="1:65">
      <c r="A13" t="s">
        <v>113</v>
      </c>
      <c r="T13" s="55">
        <f>+'Segment Data'!AJ17+'Segment Data'!AI17+'Segment Data'!AH17+'Segment Data'!AG17</f>
        <v>8180</v>
      </c>
      <c r="V13" s="55">
        <f>+'Segment Data'!AM17+'Segment Data'!AJ17+'Segment Data'!AI17+'Segment Data'!AH17</f>
        <v>8540</v>
      </c>
      <c r="W13" s="55">
        <f>+'Segment Data'!AN17+'Segment Data'!AM17+'Segment Data'!AJ17+'Segment Data'!AI17</f>
        <v>8734</v>
      </c>
      <c r="X13" s="55">
        <f>+'Segment Data'!AO17+'Segment Data'!AN17+'Segment Data'!AM17+'Segment Data'!AJ17</f>
        <v>8835</v>
      </c>
      <c r="Y13" s="55">
        <f>+'Segment Data'!AP17+'Segment Data'!AO17+'Segment Data'!AN17+'Segment Data'!AM17</f>
        <v>9000</v>
      </c>
      <c r="AA13" s="55">
        <f>+'Segment Data'!AS17+'Segment Data'!AP17+'Segment Data'!AO17+'Segment Data'!AN17</f>
        <v>9390</v>
      </c>
      <c r="AB13" s="55">
        <f>+'Segment Data'!AT17+'Segment Data'!AS17+'Segment Data'!AP17+'Segment Data'!AO17</f>
        <v>9901</v>
      </c>
      <c r="AC13" s="55">
        <f>+'Segment Data'!AU17+'Segment Data'!AT17+'Segment Data'!AS17+'Segment Data'!AP17</f>
        <v>10342</v>
      </c>
      <c r="AD13" s="70">
        <f>+'Segment Data'!AV17+'Segment Data'!AU17+'Segment Data'!AT17+'Segment Data'!AS17</f>
        <v>10798</v>
      </c>
      <c r="AF13" s="55">
        <f>+'Segment Data'!AY17+'Segment Data'!AV17+'Segment Data'!AU17+'Segment Data'!AT17</f>
        <v>10958</v>
      </c>
      <c r="AG13" s="55">
        <f>+'Segment Data'!AZ17+'Segment Data'!AY17+'Segment Data'!AV17+'Segment Data'!AU17</f>
        <v>11170</v>
      </c>
      <c r="AH13" s="70">
        <f>+'Segment Data'!BA17+'Segment Data'!AZ17+'Segment Data'!AY17+'Segment Data'!AV17</f>
        <v>11365</v>
      </c>
      <c r="AI13" s="70">
        <f>+'Segment Data'!BC17</f>
        <v>11273</v>
      </c>
      <c r="AK13" s="55">
        <f>+'Segment Data'!BE17+'Segment Data'!BB17+'Segment Data'!BA17+'Segment Data'!AZ17</f>
        <v>10917</v>
      </c>
      <c r="AL13" s="55">
        <f>+'Segment Data'!BA17+'Segment Data'!BB17+'Segment Data'!BE17+'Segment Data'!BF17</f>
        <v>10527</v>
      </c>
      <c r="AM13" s="55">
        <f>+'Segment Data'!BB17+'Segment Data'!BE17+'Segment Data'!BF17+'Segment Data'!BG17</f>
        <v>10176</v>
      </c>
      <c r="AN13" s="70">
        <f>'Segment Data'!BI17</f>
        <v>9950</v>
      </c>
      <c r="AP13" s="70">
        <f>'Segment Data'!BK17+'Segment Data'!BH17+'Segment Data'!BG17+'Segment Data'!BF17</f>
        <v>10101</v>
      </c>
      <c r="AQ13" s="70">
        <f>+'Segment Data'!BL17+'Segment Data'!BK17+'Segment Data'!BH17+'Segment Data'!BG17</f>
        <v>10363</v>
      </c>
      <c r="AR13" s="55">
        <f>+'Segment Data'!BM17+'Segment Data'!BL17+'Segment Data'!BK17+'Segment Data'!BH17</f>
        <v>10843</v>
      </c>
      <c r="AS13" s="55">
        <f>+'Segment Data'!BO17</f>
        <v>11478</v>
      </c>
      <c r="AU13" s="70">
        <f>'Segment Data'!BQ17+'Segment Data'!BN17+'Segment Data'!BM17+'Segment Data'!BL17+1</f>
        <v>11848</v>
      </c>
      <c r="AV13" s="70">
        <f>+'Segment Data'!BR17+'Segment Data'!BQ17+'Segment Data'!BN17+'Segment Data'!BM17</f>
        <v>11971</v>
      </c>
      <c r="AW13" s="70">
        <f>+'Segment Data'!BS17+'Segment Data'!BR17+'Segment Data'!BQ17+'Segment Data'!BN17</f>
        <v>12055</v>
      </c>
      <c r="AX13" s="70">
        <f>+'Segment Data'!BU17</f>
        <v>12151</v>
      </c>
      <c r="AZ13" s="55">
        <f>+'Segment Data'!BW17+'Segment Data'!BT17+'Segment Data'!BS17+'Segment Data'!BR17</f>
        <v>12094</v>
      </c>
      <c r="BA13" s="70">
        <f>+'Segment Data'!BX17+'Segment Data'!BW17+'Segment Data'!BT17+'Segment Data'!BS17</f>
        <v>12096</v>
      </c>
      <c r="BB13" s="70">
        <f>+'Segment Data'!BY17+'Segment Data'!BX17+'Segment Data'!BW17+'Segment Data'!BT17</f>
        <v>12105</v>
      </c>
      <c r="BC13" s="70">
        <f>+'Segment Data'!CA17</f>
        <v>12148</v>
      </c>
      <c r="BE13" s="55">
        <f>+'Segment Data'!CC17+'Segment Data'!BZ17+'Segment Data'!BY17+'Segment Data'!BX17</f>
        <v>12201</v>
      </c>
      <c r="BF13" s="70">
        <f>+'Segment Data'!CD17+'Segment Data'!CC17+'Segment Data'!BZ17+'Segment Data'!BY17</f>
        <v>12386</v>
      </c>
      <c r="BG13" s="70">
        <f>+'Segment Data'!CE17+'Segment Data'!CD17+'Segment Data'!CC17+'Segment Data'!BZ17</f>
        <v>12632</v>
      </c>
      <c r="BH13" s="70">
        <f>+'Segment Data'!CG17</f>
        <v>12843</v>
      </c>
      <c r="BJ13" s="70">
        <f>+'Segment Data'!CI17+'Segment Data'!CF17+'Segment Data'!CE17+'Segment Data'!CD17</f>
        <v>13163</v>
      </c>
      <c r="BK13" s="70">
        <f>+'Segment Data'!CE17+'Segment Data'!CF17+'Segment Data'!CI17+'Segment Data'!CJ17</f>
        <v>13236</v>
      </c>
      <c r="BL13" s="70">
        <f>+'Segment Data'!CK17+'Segment Data'!CJ17+'Segment Data'!CI17+'Segment Data'!CF17</f>
        <v>13235</v>
      </c>
      <c r="BM13" s="70">
        <f>+'Segment Data'!CM17</f>
        <v>13180</v>
      </c>
    </row>
    <row r="15" spans="1:65"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</row>
    <row r="16" spans="1:65">
      <c r="AF16" s="55"/>
      <c r="AG16" s="55"/>
      <c r="AH16" s="70"/>
      <c r="AI16" s="70"/>
    </row>
    <row r="29" spans="3:3">
      <c r="C29" t="s">
        <v>78</v>
      </c>
    </row>
  </sheetData>
  <phoneticPr fontId="12" type="noConversion"/>
  <pageMargins left="0.74803149606299213" right="0.74803149606299213" top="0.98425196850393704" bottom="0.98425196850393704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</vt:lpstr>
      <vt:lpstr>Valuation</vt:lpstr>
      <vt:lpstr>EBITDA udvikling</vt:lpstr>
      <vt:lpstr>' Financial Highlights'!Print_Area</vt:lpstr>
      <vt:lpstr>'Balance Sheet'!Print_Area</vt:lpstr>
      <vt:lpstr>Cashflow!Print_Area</vt:lpstr>
      <vt:lpstr>'EBITDA udvikling'!Print_Area</vt:lpstr>
      <vt:lpstr>'Front Page'!Print_Area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'EBITDA udvikling'!Print_Titles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zzzz_X . Xsen</cp:lastModifiedBy>
  <cp:lastPrinted>2015-02-25T15:50:07Z</cp:lastPrinted>
  <dcterms:created xsi:type="dcterms:W3CDTF">2003-02-28T10:07:39Z</dcterms:created>
  <dcterms:modified xsi:type="dcterms:W3CDTF">2015-02-26T10:21:56Z</dcterms:modified>
</cp:coreProperties>
</file>