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Q:\PUBLIC\Delårsrapporter\2019\AR 2019\"/>
    </mc:Choice>
  </mc:AlternateContent>
  <xr:revisionPtr revIDLastSave="0" documentId="8_{C58419BF-B008-4490-BA87-51C3B81FA329}" xr6:coauthVersionLast="31" xr6:coauthVersionMax="31" xr10:uidLastSave="{00000000-0000-0000-0000-000000000000}"/>
  <bookViews>
    <workbookView xWindow="0" yWindow="0" windowWidth="19170" windowHeight="6090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</sheets>
  <definedNames>
    <definedName name="_xlnm.Print_Area" localSheetId="1">' Financial Highlights'!$BV$3:$CM$50</definedName>
    <definedName name="_xlnm.Print_Area" localSheetId="2">'Balance Sheet'!$BJ$4:$BX$50</definedName>
    <definedName name="_xlnm.Print_Area" localSheetId="3">Cashflow!$BV$5:$CM$35</definedName>
    <definedName name="_xlnm.Print_Area" localSheetId="0">'Front Page'!$A$1:$N$25</definedName>
    <definedName name="_xlnm.Print_Area" localSheetId="4">'Segment Data'!$BV$4:$CM$85</definedName>
    <definedName name="_xlnm.Print_Area" localSheetId="5">Valuation!$BJ$4:$BX$38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4">'Segment Data'!$A:$A,'Segment Data'!$1:$3</definedName>
    <definedName name="_xlnm.Print_Titles" localSheetId="5">Valuation!$A:$A,Valuation!$1:$3</definedName>
  </definedNames>
  <calcPr calcId="179017"/>
</workbook>
</file>

<file path=xl/calcChain.xml><?xml version="1.0" encoding="utf-8"?>
<calcChain xmlns="http://schemas.openxmlformats.org/spreadsheetml/2006/main">
  <c r="CM25" i="3" l="1"/>
  <c r="BX36" i="6" l="1"/>
  <c r="BX33" i="6"/>
  <c r="BX32" i="6"/>
  <c r="BV36" i="6"/>
  <c r="BV33" i="6"/>
  <c r="BV32" i="6"/>
  <c r="BX27" i="6"/>
  <c r="BX26" i="6"/>
  <c r="BX28" i="6" s="1"/>
  <c r="BU27" i="6"/>
  <c r="BW27" i="6"/>
  <c r="BW26" i="6" s="1"/>
  <c r="BV28" i="6"/>
  <c r="BV26" i="6"/>
  <c r="BX24" i="6"/>
  <c r="BX21" i="6" s="1"/>
  <c r="BV21" i="6"/>
  <c r="BW21" i="6"/>
  <c r="BX17" i="6"/>
  <c r="BX15" i="6"/>
  <c r="BV15" i="6"/>
  <c r="BX11" i="6"/>
  <c r="BX7" i="6"/>
  <c r="BV7" i="6"/>
  <c r="CL28" i="3"/>
  <c r="CM34" i="3"/>
  <c r="CK21" i="3"/>
  <c r="CL19" i="3"/>
  <c r="CL11" i="3"/>
  <c r="BX42" i="2"/>
  <c r="BX31" i="2"/>
  <c r="BX26" i="2"/>
  <c r="BV50" i="2"/>
  <c r="BV40" i="2"/>
  <c r="BV38" i="2"/>
  <c r="BX25" i="2"/>
  <c r="BX19" i="2"/>
  <c r="BX17" i="2"/>
  <c r="BX13" i="2"/>
  <c r="BX10" i="2"/>
  <c r="CL47" i="1"/>
  <c r="CK47" i="1"/>
  <c r="CL42" i="1"/>
  <c r="CK42" i="1"/>
  <c r="CL33" i="1"/>
  <c r="CL25" i="1"/>
  <c r="CL12" i="1"/>
  <c r="CL15" i="1" s="1"/>
  <c r="CL17" i="1" s="1"/>
  <c r="CL20" i="1" s="1"/>
  <c r="CL22" i="1" s="1"/>
  <c r="CL7" i="1"/>
  <c r="CL5" i="1"/>
  <c r="BX41" i="2" l="1"/>
  <c r="BX50" i="2" s="1"/>
  <c r="CL21" i="3"/>
  <c r="BX33" i="2"/>
  <c r="CK16" i="4" l="1"/>
  <c r="CL16" i="4" l="1"/>
  <c r="CL78" i="4" l="1"/>
  <c r="CL68" i="4"/>
  <c r="CL41" i="4"/>
  <c r="CL40" i="4"/>
  <c r="CL38" i="4"/>
  <c r="CL28" i="4"/>
  <c r="CL26" i="4"/>
  <c r="CL24" i="4"/>
  <c r="CL13" i="4"/>
  <c r="CK13" i="4"/>
  <c r="CM6" i="4"/>
  <c r="CK7" i="1"/>
  <c r="CL39" i="4" l="1"/>
  <c r="CL25" i="4"/>
  <c r="CM24" i="3"/>
  <c r="BW7" i="6" l="1"/>
  <c r="BW11" i="6" s="1"/>
  <c r="BW15" i="6" s="1"/>
  <c r="BU7" i="6"/>
  <c r="CK15" i="3"/>
  <c r="CK19" i="3" s="1"/>
  <c r="CK11" i="3"/>
  <c r="CK28" i="3" s="1"/>
  <c r="CK10" i="3"/>
  <c r="BW31" i="2"/>
  <c r="BW26" i="2"/>
  <c r="BW25" i="2"/>
  <c r="BW33" i="2" s="1"/>
  <c r="BW13" i="2"/>
  <c r="BW17" i="2" s="1"/>
  <c r="BW19" i="2" s="1"/>
  <c r="BW10" i="2"/>
  <c r="CK38" i="1"/>
  <c r="CK5" i="1"/>
  <c r="CM5" i="1" s="1"/>
  <c r="CK78" i="4"/>
  <c r="CK33" i="1" s="1"/>
  <c r="CK68" i="4"/>
  <c r="CJ40" i="4"/>
  <c r="CJ41" i="4"/>
  <c r="CK41" i="4"/>
  <c r="CK40" i="4"/>
  <c r="CK38" i="4"/>
  <c r="CK28" i="4"/>
  <c r="CK26" i="4"/>
  <c r="CK24" i="4"/>
  <c r="CK25" i="1"/>
  <c r="CK25" i="4" l="1"/>
  <c r="CK39" i="4"/>
  <c r="CK12" i="1"/>
  <c r="CK15" i="1" s="1"/>
  <c r="CK17" i="1" s="1"/>
  <c r="CK20" i="1" s="1"/>
  <c r="BV27" i="6"/>
  <c r="BV11" i="6"/>
  <c r="BW41" i="2" l="1"/>
  <c r="CK22" i="1"/>
  <c r="CJ47" i="1"/>
  <c r="BV31" i="2"/>
  <c r="BV26" i="2"/>
  <c r="BV25" i="2"/>
  <c r="BV13" i="2"/>
  <c r="BV17" i="2" s="1"/>
  <c r="BV10" i="2"/>
  <c r="CM10" i="1"/>
  <c r="CJ15" i="3"/>
  <c r="CJ38" i="1" s="1"/>
  <c r="CJ10" i="3"/>
  <c r="CJ11" i="3" s="1"/>
  <c r="CJ78" i="4"/>
  <c r="CJ68" i="4"/>
  <c r="CJ38" i="4"/>
  <c r="CJ28" i="4"/>
  <c r="CJ24" i="4"/>
  <c r="CJ26" i="4"/>
  <c r="CJ13" i="4"/>
  <c r="CJ7" i="1" l="1"/>
  <c r="CJ12" i="1" s="1"/>
  <c r="CJ15" i="1" s="1"/>
  <c r="CJ17" i="1" s="1"/>
  <c r="CJ20" i="1" s="1"/>
  <c r="CJ16" i="4"/>
  <c r="CJ25" i="4" s="1"/>
  <c r="CJ39" i="4"/>
  <c r="BV19" i="2"/>
  <c r="CJ31" i="1" s="1"/>
  <c r="CJ42" i="1" s="1"/>
  <c r="BV33" i="2"/>
  <c r="CJ22" i="1"/>
  <c r="BV41" i="2"/>
  <c r="CJ37" i="1"/>
  <c r="CJ19" i="3"/>
  <c r="CJ21" i="3" s="1"/>
  <c r="CJ28" i="3" s="1"/>
  <c r="CJ25" i="1" l="1"/>
  <c r="CI47" i="1"/>
  <c r="CM46" i="1"/>
  <c r="CM45" i="1"/>
  <c r="CM21" i="1"/>
  <c r="CM19" i="1"/>
  <c r="CM18" i="1"/>
  <c r="CM16" i="1"/>
  <c r="CM14" i="1"/>
  <c r="CM13" i="1"/>
  <c r="CM11" i="1"/>
  <c r="CM9" i="1"/>
  <c r="CM8" i="1"/>
  <c r="BU31" i="2"/>
  <c r="BU26" i="2"/>
  <c r="BU25" i="2"/>
  <c r="BU17" i="2"/>
  <c r="BU10" i="2"/>
  <c r="CI15" i="3"/>
  <c r="CM15" i="3" s="1"/>
  <c r="CI10" i="3"/>
  <c r="CI11" i="3" s="1"/>
  <c r="CI37" i="1" s="1"/>
  <c r="CM37" i="1" s="1"/>
  <c r="CM30" i="3"/>
  <c r="CM27" i="3"/>
  <c r="CM26" i="3"/>
  <c r="CM23" i="3"/>
  <c r="CM18" i="3"/>
  <c r="CM17" i="3"/>
  <c r="CM16" i="3"/>
  <c r="CM14" i="3"/>
  <c r="CM13" i="3"/>
  <c r="CM7" i="3"/>
  <c r="CM6" i="3"/>
  <c r="CC28" i="4"/>
  <c r="CI28" i="4"/>
  <c r="CI78" i="4"/>
  <c r="CI33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CM21" i="4"/>
  <c r="CM15" i="4"/>
  <c r="CI13" i="4"/>
  <c r="CI39" i="4" s="1"/>
  <c r="CM12" i="4"/>
  <c r="CM11" i="4"/>
  <c r="CM9" i="4"/>
  <c r="CM8" i="4"/>
  <c r="BU11" i="6"/>
  <c r="BU15" i="6" s="1"/>
  <c r="CI7" i="1" l="1"/>
  <c r="CM7" i="1" s="1"/>
  <c r="CM12" i="1" s="1"/>
  <c r="CM15" i="1" s="1"/>
  <c r="CM17" i="1" s="1"/>
  <c r="CM20" i="1" s="1"/>
  <c r="CM22" i="1" s="1"/>
  <c r="CI38" i="1"/>
  <c r="CM38" i="1" s="1"/>
  <c r="CI5" i="1"/>
  <c r="BU33" i="2"/>
  <c r="BU19" i="2"/>
  <c r="CI31" i="1" s="1"/>
  <c r="CI42" i="1" s="1"/>
  <c r="CI19" i="3"/>
  <c r="CI21" i="3" s="1"/>
  <c r="CI28" i="3" s="1"/>
  <c r="CM19" i="3"/>
  <c r="CM10" i="3"/>
  <c r="CI16" i="4"/>
  <c r="CM40" i="4"/>
  <c r="CM68" i="4"/>
  <c r="CM10" i="4"/>
  <c r="CM28" i="4" s="1"/>
  <c r="CM19" i="4"/>
  <c r="CM41" i="4"/>
  <c r="CM38" i="4"/>
  <c r="CF30" i="1"/>
  <c r="CF29" i="1"/>
  <c r="BS22" i="2"/>
  <c r="BS7" i="6"/>
  <c r="BS11" i="6" s="1"/>
  <c r="CM11" i="3" l="1"/>
  <c r="CI12" i="1"/>
  <c r="CI15" i="1" s="1"/>
  <c r="CI17" i="1" s="1"/>
  <c r="CI20" i="1" s="1"/>
  <c r="CI22" i="1" s="1"/>
  <c r="CI25" i="4"/>
  <c r="CI25" i="1"/>
  <c r="CM25" i="1" s="1"/>
  <c r="CM21" i="3"/>
  <c r="CM28" i="3" s="1"/>
  <c r="CM13" i="4"/>
  <c r="CM39" i="4" s="1"/>
  <c r="CM16" i="4"/>
  <c r="CM26" i="4"/>
  <c r="CM24" i="4"/>
  <c r="CF47" i="1"/>
  <c r="CF38" i="1"/>
  <c r="CF37" i="1"/>
  <c r="CF19" i="1"/>
  <c r="CF16" i="1"/>
  <c r="CF9" i="1"/>
  <c r="CF8" i="1"/>
  <c r="CF7" i="1"/>
  <c r="CF5" i="1"/>
  <c r="BU41" i="2" l="1"/>
  <c r="CF12" i="1"/>
  <c r="CF15" i="1" s="1"/>
  <c r="CF17" i="1" s="1"/>
  <c r="CF20" i="1" s="1"/>
  <c r="CF22" i="1" s="1"/>
  <c r="CM25" i="4"/>
  <c r="BS31" i="2"/>
  <c r="BS26" i="2"/>
  <c r="BS13" i="2"/>
  <c r="CF15" i="3"/>
  <c r="CF10" i="3"/>
  <c r="CF19" i="4" l="1"/>
  <c r="CF15" i="4"/>
  <c r="CF41" i="4" s="1"/>
  <c r="CF10" i="4"/>
  <c r="CF28" i="4" s="1"/>
  <c r="CF6" i="4"/>
  <c r="CF40" i="4" s="1"/>
  <c r="CF26" i="4" l="1"/>
  <c r="CE47" i="1"/>
  <c r="CE12" i="1"/>
  <c r="CE15" i="1" s="1"/>
  <c r="CE17" i="1" s="1"/>
  <c r="CE20" i="1" s="1"/>
  <c r="CE22" i="1" s="1"/>
  <c r="BR45" i="2"/>
  <c r="BR31" i="2"/>
  <c r="BR26" i="2"/>
  <c r="BR13" i="2"/>
  <c r="CE15" i="3"/>
  <c r="CE38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31" i="2"/>
  <c r="BQ26" i="2"/>
  <c r="BQ13" i="2"/>
  <c r="CD42" i="1"/>
  <c r="CD12" i="1"/>
  <c r="CD15" i="1" s="1"/>
  <c r="CD17" i="1" s="1"/>
  <c r="CD20" i="1" s="1"/>
  <c r="CD22" i="1" s="1"/>
  <c r="CG34" i="3" l="1"/>
  <c r="CC47" i="1"/>
  <c r="CG46" i="1"/>
  <c r="CG45" i="1"/>
  <c r="CC38" i="1"/>
  <c r="CG38" i="1" s="1"/>
  <c r="CG21" i="1"/>
  <c r="CG19" i="1"/>
  <c r="CG18" i="1"/>
  <c r="CG16" i="1"/>
  <c r="CG14" i="1"/>
  <c r="CG13" i="1"/>
  <c r="CG11" i="1"/>
  <c r="CG9" i="1"/>
  <c r="CG8" i="1"/>
  <c r="BP31" i="2"/>
  <c r="BP26" i="2"/>
  <c r="BP13" i="2"/>
  <c r="BP17" i="2" s="1"/>
  <c r="BS25" i="2"/>
  <c r="BS33" i="2" s="1"/>
  <c r="BR25" i="2"/>
  <c r="BR33" i="2" s="1"/>
  <c r="BQ25" i="2"/>
  <c r="BQ33" i="2" s="1"/>
  <c r="BP25" i="2"/>
  <c r="BR17" i="2"/>
  <c r="BQ17" i="2"/>
  <c r="BS17" i="2"/>
  <c r="BS10" i="2"/>
  <c r="BR10" i="2"/>
  <c r="BQ10" i="2"/>
  <c r="BP10" i="2"/>
  <c r="CC10" i="3"/>
  <c r="CG10" i="3" s="1"/>
  <c r="CG30" i="3"/>
  <c r="CG27" i="3"/>
  <c r="CG26" i="3"/>
  <c r="CG23" i="3"/>
  <c r="CG18" i="3"/>
  <c r="CG17" i="3"/>
  <c r="CG16" i="3"/>
  <c r="CG15" i="3"/>
  <c r="CG14" i="3"/>
  <c r="CG13" i="3"/>
  <c r="CF19" i="3"/>
  <c r="CE19" i="3"/>
  <c r="CF11" i="3"/>
  <c r="CG7" i="3"/>
  <c r="CE11" i="3"/>
  <c r="CE37" i="1" s="1"/>
  <c r="CD11" i="3"/>
  <c r="CE21" i="3" l="1"/>
  <c r="CE28" i="3" s="1"/>
  <c r="BR19" i="2"/>
  <c r="CE31" i="1" s="1"/>
  <c r="CE42" i="1" s="1"/>
  <c r="BS19" i="2"/>
  <c r="CF31" i="1" s="1"/>
  <c r="CF42" i="1" s="1"/>
  <c r="CC11" i="3"/>
  <c r="CC37" i="1" s="1"/>
  <c r="CG37" i="1" s="1"/>
  <c r="BP33" i="2"/>
  <c r="BP19" i="2"/>
  <c r="CC31" i="1" s="1"/>
  <c r="CC42" i="1" s="1"/>
  <c r="BQ19" i="2"/>
  <c r="CG19" i="3"/>
  <c r="CF21" i="3"/>
  <c r="CF28" i="3" s="1"/>
  <c r="CG6" i="3"/>
  <c r="CG11" i="3" s="1"/>
  <c r="CC19" i="3"/>
  <c r="CD19" i="3"/>
  <c r="CD21" i="3" s="1"/>
  <c r="CD28" i="3" s="1"/>
  <c r="CC21" i="3" l="1"/>
  <c r="CC28" i="3" s="1"/>
  <c r="CG21" i="3"/>
  <c r="CG28" i="3" s="1"/>
  <c r="BS15" i="6" l="1"/>
  <c r="BR7" i="6"/>
  <c r="BQ7" i="6"/>
  <c r="BP7" i="6"/>
  <c r="CE78" i="4"/>
  <c r="CE33" i="1" s="1"/>
  <c r="CD78" i="4"/>
  <c r="CD33" i="1" s="1"/>
  <c r="CC78" i="4"/>
  <c r="CC33" i="1" s="1"/>
  <c r="CF78" i="4"/>
  <c r="CF33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2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5" i="1" s="1"/>
  <c r="CE13" i="4"/>
  <c r="CE16" i="4" s="1"/>
  <c r="CE25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2" i="1" s="1"/>
  <c r="CG15" i="1" s="1"/>
  <c r="CG17" i="1" s="1"/>
  <c r="CG20" i="1" s="1"/>
  <c r="CG22" i="1" s="1"/>
  <c r="CC15" i="1"/>
  <c r="CC17" i="1" s="1"/>
  <c r="CC20" i="1" s="1"/>
  <c r="CC22" i="1" s="1"/>
  <c r="CC25" i="1"/>
  <c r="CG25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3" i="2"/>
  <c r="BZ29" i="1"/>
  <c r="BZ47" i="1" s="1"/>
  <c r="BZ19" i="1"/>
  <c r="BZ16" i="1"/>
  <c r="BZ8" i="1"/>
  <c r="BZ9" i="1"/>
  <c r="BN31" i="2"/>
  <c r="BN26" i="2"/>
  <c r="BN25" i="2"/>
  <c r="BN13" i="2"/>
  <c r="BN17" i="2" s="1"/>
  <c r="BN10" i="2"/>
  <c r="BZ13" i="3"/>
  <c r="CA14" i="3"/>
  <c r="BW36" i="6" l="1"/>
  <c r="BN33" i="2"/>
  <c r="CF39" i="4"/>
  <c r="BU17" i="6"/>
  <c r="BV17" i="6"/>
  <c r="CF25" i="4"/>
  <c r="BU24" i="6"/>
  <c r="BV24" i="6"/>
  <c r="BS24" i="6"/>
  <c r="BS26" i="6" s="1"/>
  <c r="CG25" i="4"/>
  <c r="BN19" i="2"/>
  <c r="BZ31" i="1" s="1"/>
  <c r="BZ42" i="1" s="1"/>
  <c r="BP41" i="2"/>
  <c r="CG39" i="4"/>
  <c r="BZ15" i="3"/>
  <c r="BZ38" i="1" s="1"/>
  <c r="BZ7" i="3"/>
  <c r="BT10" i="3"/>
  <c r="BT7" i="3"/>
  <c r="BZ6" i="3"/>
  <c r="BN7" i="6"/>
  <c r="BN11" i="6" s="1"/>
  <c r="BN15" i="6" s="1"/>
  <c r="BU21" i="6" l="1"/>
  <c r="BU26" i="6"/>
  <c r="BU28" i="6" s="1"/>
  <c r="BW28" i="6"/>
  <c r="BW32" i="6" s="1"/>
  <c r="BW33" i="6"/>
  <c r="BU36" i="6"/>
  <c r="BZ11" i="3"/>
  <c r="BZ37" i="1" s="1"/>
  <c r="BS28" i="6"/>
  <c r="BS32" i="6" s="1"/>
  <c r="BS33" i="6"/>
  <c r="BS21" i="6"/>
  <c r="BS36" i="6"/>
  <c r="BZ19" i="3"/>
  <c r="BZ71" i="4"/>
  <c r="BZ78" i="4" s="1"/>
  <c r="BZ33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8" i="1"/>
  <c r="BY13" i="3"/>
  <c r="BY19" i="3" s="1"/>
  <c r="BY10" i="3"/>
  <c r="BM31" i="2"/>
  <c r="BM26" i="2"/>
  <c r="BM25" i="2"/>
  <c r="BY29" i="1"/>
  <c r="BZ68" i="4" l="1"/>
  <c r="BZ21" i="3"/>
  <c r="BZ28" i="3" s="1"/>
  <c r="BU32" i="6"/>
  <c r="BU33" i="6"/>
  <c r="BZ38" i="4"/>
  <c r="CA31" i="4"/>
  <c r="BM33" i="2"/>
  <c r="BQ27" i="6"/>
  <c r="BP27" i="6"/>
  <c r="BZ24" i="4"/>
  <c r="BR24" i="6" s="1"/>
  <c r="BZ25" i="1"/>
  <c r="BZ5" i="1"/>
  <c r="BZ28" i="4"/>
  <c r="BY47" i="1"/>
  <c r="BR36" i="6" l="1"/>
  <c r="BZ7" i="1"/>
  <c r="BZ12" i="1" s="1"/>
  <c r="BZ15" i="1" s="1"/>
  <c r="BZ17" i="1" s="1"/>
  <c r="BZ20" i="1" s="1"/>
  <c r="BN41" i="2" s="1"/>
  <c r="BR17" i="6"/>
  <c r="BR21" i="6" s="1"/>
  <c r="BR26" i="6"/>
  <c r="BZ25" i="4"/>
  <c r="BM17" i="2"/>
  <c r="BZ22" i="1" l="1"/>
  <c r="BR33" i="6"/>
  <c r="BR28" i="6"/>
  <c r="BR32" i="6" s="1"/>
  <c r="BM10" i="2"/>
  <c r="BM19" i="2" s="1"/>
  <c r="BY31" i="1" s="1"/>
  <c r="BY42" i="1" s="1"/>
  <c r="BM27" i="6" l="1"/>
  <c r="BM7" i="6"/>
  <c r="BM11" i="6" s="1"/>
  <c r="BM15" i="6" s="1"/>
  <c r="BY78" i="4" l="1"/>
  <c r="BY33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5" i="1" s="1"/>
  <c r="BL44" i="2"/>
  <c r="BL26" i="2"/>
  <c r="BL25" i="2"/>
  <c r="BL17" i="2"/>
  <c r="BL10" i="2"/>
  <c r="BX44" i="1"/>
  <c r="BX43" i="1"/>
  <c r="BX47" i="1" s="1"/>
  <c r="BX42" i="1"/>
  <c r="BX38" i="1"/>
  <c r="BX19" i="3"/>
  <c r="BX7" i="3"/>
  <c r="BW15" i="3"/>
  <c r="BW10" i="3"/>
  <c r="BX7" i="1"/>
  <c r="BX12" i="1" s="1"/>
  <c r="BX15" i="1" s="1"/>
  <c r="BX17" i="1" s="1"/>
  <c r="BX20" i="1" s="1"/>
  <c r="BX22" i="1" s="1"/>
  <c r="BX78" i="4"/>
  <c r="BX68" i="4"/>
  <c r="BX40" i="4"/>
  <c r="BX41" i="4"/>
  <c r="BX42" i="4"/>
  <c r="BL19" i="2" l="1"/>
  <c r="BY6" i="3"/>
  <c r="BY11" i="3" s="1"/>
  <c r="BY12" i="1"/>
  <c r="BY15" i="1" s="1"/>
  <c r="BY17" i="1" s="1"/>
  <c r="BY20" i="1" s="1"/>
  <c r="BY25" i="4"/>
  <c r="BL41" i="2"/>
  <c r="BL33" i="2"/>
  <c r="BX6" i="3"/>
  <c r="BX11" i="3" s="1"/>
  <c r="BM41" i="2" l="1"/>
  <c r="BY22" i="1"/>
  <c r="BY37" i="1"/>
  <c r="BY21" i="3"/>
  <c r="BY28" i="3" s="1"/>
  <c r="BX37" i="1"/>
  <c r="BX21" i="3"/>
  <c r="BX28" i="3" s="1"/>
  <c r="BX26" i="4" l="1"/>
  <c r="BX27" i="4"/>
  <c r="BX24" i="4"/>
  <c r="BX13" i="4"/>
  <c r="BX16" i="4" s="1"/>
  <c r="BX25" i="1" l="1"/>
  <c r="BX5" i="1"/>
  <c r="BX39" i="4"/>
  <c r="BX25" i="4"/>
  <c r="BL7" i="6"/>
  <c r="BL11" i="6" s="1"/>
  <c r="BL15" i="6" s="1"/>
  <c r="BG17" i="2" l="1"/>
  <c r="BF17" i="2"/>
  <c r="BK16" i="2"/>
  <c r="BK17" i="2" s="1"/>
  <c r="BK25" i="2"/>
  <c r="BK10" i="2"/>
  <c r="BW47" i="1"/>
  <c r="CA46" i="1"/>
  <c r="CA45" i="1"/>
  <c r="BW38" i="1"/>
  <c r="CA38" i="1" s="1"/>
  <c r="CA21" i="1"/>
  <c r="CA19" i="1"/>
  <c r="CA18" i="1"/>
  <c r="CA16" i="1"/>
  <c r="CA14" i="1"/>
  <c r="CA13" i="1"/>
  <c r="CA11" i="1"/>
  <c r="CA9" i="1"/>
  <c r="CA8" i="1"/>
  <c r="CA34" i="3"/>
  <c r="CA30" i="3"/>
  <c r="CA27" i="3"/>
  <c r="CA26" i="3"/>
  <c r="CA23" i="3"/>
  <c r="BW19" i="3"/>
  <c r="CA18" i="3"/>
  <c r="CA17" i="3"/>
  <c r="CA16" i="3"/>
  <c r="CA15" i="3"/>
  <c r="CA13" i="3"/>
  <c r="CA10" i="3"/>
  <c r="BW7" i="3"/>
  <c r="CA7" i="3" s="1"/>
  <c r="BK27" i="6"/>
  <c r="BW78" i="4"/>
  <c r="BW33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5" i="1" s="1"/>
  <c r="CA25" i="1" s="1"/>
  <c r="CA12" i="4"/>
  <c r="CA11" i="4"/>
  <c r="CA10" i="4"/>
  <c r="CA9" i="4"/>
  <c r="CA8" i="4"/>
  <c r="CA6" i="4"/>
  <c r="BK7" i="6"/>
  <c r="BK11" i="6" s="1"/>
  <c r="BK15" i="6" s="1"/>
  <c r="BT38" i="1"/>
  <c r="BP17" i="6" l="1"/>
  <c r="CA68" i="4"/>
  <c r="BW5" i="1"/>
  <c r="CA5" i="1" s="1"/>
  <c r="BW7" i="1"/>
  <c r="BW12" i="1" s="1"/>
  <c r="BW15" i="1" s="1"/>
  <c r="BW17" i="1" s="1"/>
  <c r="BW20" i="1" s="1"/>
  <c r="BW22" i="1" s="1"/>
  <c r="BN27" i="6"/>
  <c r="BN28" i="6" s="1"/>
  <c r="BN32" i="6" s="1"/>
  <c r="CA28" i="4"/>
  <c r="CA26" i="4"/>
  <c r="CA40" i="4"/>
  <c r="BK33" i="2"/>
  <c r="BK19" i="2"/>
  <c r="BW31" i="1" s="1"/>
  <c r="BW42" i="1" s="1"/>
  <c r="CA19" i="3"/>
  <c r="CA24" i="4"/>
  <c r="BQ24" i="6" s="1"/>
  <c r="BW39" i="4"/>
  <c r="CA41" i="4"/>
  <c r="BW25" i="4"/>
  <c r="CA13" i="4"/>
  <c r="CA16" i="4" s="1"/>
  <c r="CA7" i="1" l="1"/>
  <c r="CA12" i="1" s="1"/>
  <c r="CA15" i="1" s="1"/>
  <c r="CA17" i="1" s="1"/>
  <c r="CA20" i="1" s="1"/>
  <c r="CA22" i="1" s="1"/>
  <c r="BQ26" i="6"/>
  <c r="BQ36" i="6"/>
  <c r="BQ21" i="6"/>
  <c r="BK41" i="2"/>
  <c r="BP24" i="6"/>
  <c r="BP26" i="6" s="1"/>
  <c r="BN24" i="6"/>
  <c r="BN17" i="6"/>
  <c r="BW6" i="3"/>
  <c r="CA6" i="3" s="1"/>
  <c r="CA11" i="3" s="1"/>
  <c r="CA21" i="3" s="1"/>
  <c r="CA28" i="3" s="1"/>
  <c r="CA39" i="4"/>
  <c r="CA25" i="4"/>
  <c r="BI32" i="2"/>
  <c r="BH31" i="2"/>
  <c r="BQ28" i="6" l="1"/>
  <c r="BQ32" i="6" s="1"/>
  <c r="BQ33" i="6"/>
  <c r="BW11" i="3"/>
  <c r="BW21" i="3" s="1"/>
  <c r="BW28" i="3" s="1"/>
  <c r="BN21" i="6"/>
  <c r="BP28" i="6"/>
  <c r="BP32" i="6" s="1"/>
  <c r="BP33" i="6"/>
  <c r="BW37" i="1"/>
  <c r="CA37" i="1" s="1"/>
  <c r="BI25" i="2"/>
  <c r="BI33" i="2" s="1"/>
  <c r="BI16" i="2"/>
  <c r="BI17" i="2" s="1"/>
  <c r="BI10" i="2"/>
  <c r="BI19" i="2" l="1"/>
  <c r="BT19" i="3"/>
  <c r="BT11" i="3"/>
  <c r="BT21" i="3" s="1"/>
  <c r="BT28" i="3" s="1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S27" i="3"/>
  <c r="BT39" i="4" l="1"/>
  <c r="BM17" i="6"/>
  <c r="BT7" i="1"/>
  <c r="BT12" i="1" s="1"/>
  <c r="BT15" i="1" s="1"/>
  <c r="BT17" i="1" s="1"/>
  <c r="BT20" i="1" s="1"/>
  <c r="BT16" i="4"/>
  <c r="BT25" i="4" s="1"/>
  <c r="BM24" i="6"/>
  <c r="BS19" i="3"/>
  <c r="BS42" i="1"/>
  <c r="BM21" i="6" l="1"/>
  <c r="BM26" i="6"/>
  <c r="BT22" i="1"/>
  <c r="BI41" i="2"/>
  <c r="BS12" i="1"/>
  <c r="BS15" i="1" s="1"/>
  <c r="BS17" i="1" s="1"/>
  <c r="BS20" i="1" s="1"/>
  <c r="BS22" i="1" s="1"/>
  <c r="BH26" i="2"/>
  <c r="BH25" i="2"/>
  <c r="BH17" i="2"/>
  <c r="BH10" i="2"/>
  <c r="BH41" i="2" l="1"/>
  <c r="BM28" i="6"/>
  <c r="BM32" i="6" s="1"/>
  <c r="BM33" i="6"/>
  <c r="BH19" i="2"/>
  <c r="BH33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39" i="4" s="1"/>
  <c r="BS26" i="4"/>
  <c r="BS27" i="4"/>
  <c r="BS24" i="4"/>
  <c r="BS13" i="4"/>
  <c r="BS16" i="4" s="1"/>
  <c r="BG44" i="2"/>
  <c r="BF44" i="2"/>
  <c r="BS25" i="4" l="1"/>
  <c r="BL24" i="6"/>
  <c r="BL26" i="6" s="1"/>
  <c r="BL17" i="6"/>
  <c r="BS11" i="3"/>
  <c r="BS21" i="3" s="1"/>
  <c r="BS28" i="3" s="1"/>
  <c r="BR42" i="1"/>
  <c r="BR38" i="1"/>
  <c r="BQ38" i="1"/>
  <c r="BL21" i="6" l="1"/>
  <c r="BL28" i="6"/>
  <c r="BL32" i="6" s="1"/>
  <c r="BL33" i="6"/>
  <c r="BR19" i="3"/>
  <c r="BR12" i="1" l="1"/>
  <c r="BR15" i="1" s="1"/>
  <c r="BR17" i="1" s="1"/>
  <c r="BR20" i="1" s="1"/>
  <c r="BR6" i="3"/>
  <c r="BR7" i="3"/>
  <c r="BG25" i="2"/>
  <c r="BG33" i="2" s="1"/>
  <c r="BG10" i="2"/>
  <c r="BG27" i="6"/>
  <c r="BG41" i="2" l="1"/>
  <c r="BR22" i="1"/>
  <c r="BR11" i="3"/>
  <c r="BR37" i="1" s="1"/>
  <c r="BG19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3" i="1" l="1"/>
  <c r="BX79" i="4"/>
  <c r="BK17" i="6"/>
  <c r="BK24" i="6" s="1"/>
  <c r="BK26" i="6" s="1"/>
  <c r="BR21" i="3"/>
  <c r="BR28" i="3" s="1"/>
  <c r="BR24" i="4"/>
  <c r="BR13" i="4"/>
  <c r="BR16" i="4" s="1"/>
  <c r="BR25" i="1" l="1"/>
  <c r="BR25" i="4"/>
  <c r="BK28" i="6"/>
  <c r="BK32" i="6" s="1"/>
  <c r="BK33" i="6"/>
  <c r="BR39" i="4"/>
  <c r="BF27" i="6"/>
  <c r="BQ27" i="3"/>
  <c r="BU27" i="3"/>
  <c r="BQ10" i="3"/>
  <c r="BQ7" i="3"/>
  <c r="BQ47" i="1"/>
  <c r="BQ80" i="4"/>
  <c r="BU46" i="1" l="1"/>
  <c r="BU45" i="1"/>
  <c r="BU21" i="1"/>
  <c r="BU19" i="1"/>
  <c r="BU18" i="1"/>
  <c r="BU16" i="1"/>
  <c r="BU14" i="1"/>
  <c r="BU13" i="1"/>
  <c r="BU11" i="1"/>
  <c r="BU9" i="1"/>
  <c r="BU8" i="1"/>
  <c r="BF25" i="2"/>
  <c r="BF33" i="2" s="1"/>
  <c r="BF10" i="2"/>
  <c r="BU34" i="3"/>
  <c r="BU30" i="3"/>
  <c r="BU26" i="3"/>
  <c r="BU23" i="3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5" i="2"/>
  <c r="BD33" i="2" s="1"/>
  <c r="BD13" i="2"/>
  <c r="BD17" i="2" s="1"/>
  <c r="BD10" i="2"/>
  <c r="BN12" i="1"/>
  <c r="BN15" i="1" s="1"/>
  <c r="BN17" i="1" s="1"/>
  <c r="BN20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5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9" i="2" l="1"/>
  <c r="BN21" i="3"/>
  <c r="BN28" i="3" s="1"/>
  <c r="BD41" i="2"/>
  <c r="BN22" i="1"/>
  <c r="BQ16" i="4"/>
  <c r="BQ25" i="1" s="1"/>
  <c r="BU25" i="1" s="1"/>
  <c r="BQ5" i="1"/>
  <c r="BU5" i="1" s="1"/>
  <c r="BH17" i="6"/>
  <c r="BI17" i="6"/>
  <c r="BQ7" i="1"/>
  <c r="BW79" i="4"/>
  <c r="BQ33" i="1"/>
  <c r="BN39" i="4"/>
  <c r="BN5" i="1"/>
  <c r="BH24" i="6"/>
  <c r="BI24" i="6"/>
  <c r="BU26" i="4"/>
  <c r="BU19" i="3"/>
  <c r="BU38" i="1"/>
  <c r="BU40" i="4"/>
  <c r="BF19" i="2"/>
  <c r="BQ31" i="1" s="1"/>
  <c r="BQ42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2" i="1"/>
  <c r="BQ15" i="1" s="1"/>
  <c r="BQ17" i="1" s="1"/>
  <c r="BQ20" i="1" s="1"/>
  <c r="BU7" i="1"/>
  <c r="BU12" i="1" s="1"/>
  <c r="BU15" i="1" s="1"/>
  <c r="BU17" i="1" s="1"/>
  <c r="BU20" i="1" s="1"/>
  <c r="BU22" i="1" s="1"/>
  <c r="BU39" i="4"/>
  <c r="BU16" i="4"/>
  <c r="BU25" i="4" s="1"/>
  <c r="BB43" i="2"/>
  <c r="AX26" i="2"/>
  <c r="AT26" i="2"/>
  <c r="AS26" i="2"/>
  <c r="AL44" i="2"/>
  <c r="BF41" i="2" l="1"/>
  <c r="BQ22" i="1"/>
  <c r="BH28" i="6"/>
  <c r="BH32" i="6" s="1"/>
  <c r="BH33" i="6"/>
  <c r="BQ11" i="3"/>
  <c r="BU6" i="3"/>
  <c r="BU11" i="3" s="1"/>
  <c r="BU21" i="3" s="1"/>
  <c r="BU28" i="3" s="1"/>
  <c r="BI28" i="6"/>
  <c r="BI32" i="6" s="1"/>
  <c r="BI33" i="6"/>
  <c r="AB43" i="2"/>
  <c r="AB26" i="2"/>
  <c r="X31" i="2"/>
  <c r="X26" i="2"/>
  <c r="U31" i="2"/>
  <c r="U26" i="2"/>
  <c r="T26" i="2"/>
  <c r="P31" i="2"/>
  <c r="BO25" i="1"/>
  <c r="BH29" i="1"/>
  <c r="BG29" i="1"/>
  <c r="BF29" i="1"/>
  <c r="BE29" i="1"/>
  <c r="BI25" i="1"/>
  <c r="BA29" i="1"/>
  <c r="AW25" i="1"/>
  <c r="AP32" i="1"/>
  <c r="AQ25" i="1"/>
  <c r="AK25" i="1"/>
  <c r="AH38" i="1"/>
  <c r="AE25" i="1"/>
  <c r="BH9" i="1"/>
  <c r="F15" i="4"/>
  <c r="E15" i="4"/>
  <c r="D15" i="4"/>
  <c r="C15" i="4"/>
  <c r="C13" i="3"/>
  <c r="D26" i="2"/>
  <c r="C26" i="2"/>
  <c r="C22" i="2"/>
  <c r="BQ37" i="1" l="1"/>
  <c r="BU37" i="1" s="1"/>
  <c r="BQ21" i="3"/>
  <c r="BQ28" i="3" s="1"/>
  <c r="BM19" i="3"/>
  <c r="BM11" i="3"/>
  <c r="BC25" i="2"/>
  <c r="BC33" i="2" s="1"/>
  <c r="BC17" i="2"/>
  <c r="BC10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8" i="1"/>
  <c r="BL43" i="1"/>
  <c r="BB25" i="2"/>
  <c r="BB33" i="2" s="1"/>
  <c r="BB17" i="2"/>
  <c r="BB10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8" i="1"/>
  <c r="BO46" i="1"/>
  <c r="BO45" i="1"/>
  <c r="BK43" i="1"/>
  <c r="BO21" i="1"/>
  <c r="BO19" i="1"/>
  <c r="BO18" i="1"/>
  <c r="BO16" i="1"/>
  <c r="BO14" i="1"/>
  <c r="BO13" i="1"/>
  <c r="BO11" i="1"/>
  <c r="BO9" i="1"/>
  <c r="BO8" i="1"/>
  <c r="BA25" i="2"/>
  <c r="BA33" i="2" s="1"/>
  <c r="BA17" i="2"/>
  <c r="BA10" i="2"/>
  <c r="BO34" i="3"/>
  <c r="BO30" i="3"/>
  <c r="BO27" i="3"/>
  <c r="BO26" i="3"/>
  <c r="BO23" i="3"/>
  <c r="BK19" i="3"/>
  <c r="BO18" i="3"/>
  <c r="BO17" i="3"/>
  <c r="BO16" i="3"/>
  <c r="BO15" i="3"/>
  <c r="BO13" i="3"/>
  <c r="BK11" i="3"/>
  <c r="BO10" i="3"/>
  <c r="BO7" i="3"/>
  <c r="BK78" i="4"/>
  <c r="BK33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L28" i="3" s="1"/>
  <c r="BM21" i="3"/>
  <c r="BM28" i="3" s="1"/>
  <c r="BM12" i="1"/>
  <c r="BM15" i="1" s="1"/>
  <c r="BM17" i="1" s="1"/>
  <c r="BM20" i="1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9" i="2"/>
  <c r="BC19" i="2"/>
  <c r="BC41" i="2"/>
  <c r="BM22" i="1"/>
  <c r="BL12" i="1"/>
  <c r="BL15" i="1" s="1"/>
  <c r="BL17" i="1" s="1"/>
  <c r="BL20" i="1" s="1"/>
  <c r="BB41" i="2" s="1"/>
  <c r="BM16" i="4"/>
  <c r="BO16" i="4" s="1"/>
  <c r="BM39" i="4"/>
  <c r="BB15" i="6"/>
  <c r="BC15" i="6"/>
  <c r="BO38" i="1"/>
  <c r="BL22" i="1"/>
  <c r="BA19" i="2"/>
  <c r="BK31" i="1" s="1"/>
  <c r="BK21" i="3"/>
  <c r="BK28" i="3" s="1"/>
  <c r="BO37" i="1"/>
  <c r="BO19" i="3"/>
  <c r="BK12" i="1"/>
  <c r="BK15" i="1" s="1"/>
  <c r="BK17" i="1" s="1"/>
  <c r="BK20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5" i="2"/>
  <c r="AY33" i="2" s="1"/>
  <c r="BH31" i="1" s="1"/>
  <c r="AY17" i="2"/>
  <c r="AY10" i="2"/>
  <c r="BH19" i="3"/>
  <c r="BH11" i="3"/>
  <c r="BH78" i="4"/>
  <c r="BH33" i="1" s="1"/>
  <c r="BH68" i="4"/>
  <c r="BH42" i="4"/>
  <c r="BH41" i="4"/>
  <c r="BH40" i="4"/>
  <c r="BH38" i="4"/>
  <c r="BH12" i="1" s="1"/>
  <c r="BH15" i="1" s="1"/>
  <c r="BH17" i="1" s="1"/>
  <c r="BH20" i="1" s="1"/>
  <c r="BH13" i="4"/>
  <c r="AX25" i="2"/>
  <c r="AX33" i="2" s="1"/>
  <c r="BG31" i="1" s="1"/>
  <c r="AX17" i="2"/>
  <c r="AX10" i="2"/>
  <c r="BG19" i="3"/>
  <c r="BG11" i="3"/>
  <c r="BG78" i="4"/>
  <c r="BG33" i="1" s="1"/>
  <c r="BG68" i="4"/>
  <c r="BG42" i="4"/>
  <c r="BG41" i="4"/>
  <c r="BG40" i="4"/>
  <c r="BG38" i="4"/>
  <c r="BG12" i="1" s="1"/>
  <c r="BG15" i="1" s="1"/>
  <c r="BG17" i="1" s="1"/>
  <c r="BG20" i="1" s="1"/>
  <c r="BG13" i="4"/>
  <c r="BG16" i="4" s="1"/>
  <c r="BG25" i="4" s="1"/>
  <c r="AW25" i="2"/>
  <c r="AW33" i="2" s="1"/>
  <c r="BF31" i="1" s="1"/>
  <c r="AW17" i="2"/>
  <c r="AW10" i="2"/>
  <c r="BF48" i="1"/>
  <c r="BF19" i="3"/>
  <c r="BF11" i="3"/>
  <c r="BF78" i="4"/>
  <c r="BF33" i="1" s="1"/>
  <c r="BF68" i="4"/>
  <c r="BF42" i="4"/>
  <c r="BF41" i="4"/>
  <c r="BF40" i="4"/>
  <c r="BF38" i="4"/>
  <c r="BF13" i="4"/>
  <c r="BF16" i="4" s="1"/>
  <c r="BF25" i="4" s="1"/>
  <c r="BE48" i="1"/>
  <c r="BI46" i="1"/>
  <c r="BI45" i="1"/>
  <c r="BH43" i="1"/>
  <c r="BG43" i="1"/>
  <c r="BF43" i="1"/>
  <c r="BE43" i="1"/>
  <c r="BI21" i="1"/>
  <c r="BI19" i="1"/>
  <c r="BI18" i="1"/>
  <c r="BI16" i="1"/>
  <c r="BI14" i="1"/>
  <c r="BI13" i="1"/>
  <c r="BI11" i="1"/>
  <c r="BI8" i="1"/>
  <c r="AV25" i="2"/>
  <c r="AV33" i="2" s="1"/>
  <c r="BE31" i="1" s="1"/>
  <c r="AV17" i="2"/>
  <c r="AV10" i="2"/>
  <c r="BI34" i="3"/>
  <c r="BI30" i="3"/>
  <c r="BI27" i="3"/>
  <c r="BI26" i="3"/>
  <c r="BI23" i="3"/>
  <c r="BE19" i="3"/>
  <c r="BI18" i="3"/>
  <c r="BI17" i="3"/>
  <c r="BI16" i="3"/>
  <c r="BI15" i="3"/>
  <c r="BI13" i="3"/>
  <c r="BE11" i="3"/>
  <c r="BI10" i="3"/>
  <c r="BI7" i="3"/>
  <c r="BE78" i="4"/>
  <c r="BE33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2" i="1"/>
  <c r="BB15" i="1" s="1"/>
  <c r="BB17" i="1" s="1"/>
  <c r="BB20" i="1" s="1"/>
  <c r="BB22" i="1" s="1"/>
  <c r="BB68" i="4"/>
  <c r="AT25" i="2"/>
  <c r="AT17" i="2"/>
  <c r="AT10" i="2"/>
  <c r="BB78" i="4"/>
  <c r="BB13" i="4"/>
  <c r="BB16" i="4" s="1"/>
  <c r="BB40" i="4"/>
  <c r="BB42" i="4"/>
  <c r="BB48" i="1"/>
  <c r="BB43" i="1"/>
  <c r="BC16" i="1"/>
  <c r="BB19" i="3"/>
  <c r="BB11" i="3"/>
  <c r="BC6" i="3"/>
  <c r="BA80" i="4"/>
  <c r="BA48" i="1"/>
  <c r="BA43" i="1"/>
  <c r="AS25" i="2"/>
  <c r="AS17" i="2"/>
  <c r="AS10" i="2"/>
  <c r="BA19" i="3"/>
  <c r="BA11" i="3"/>
  <c r="BA78" i="4"/>
  <c r="BA33" i="1" s="1"/>
  <c r="BA68" i="4"/>
  <c r="BA42" i="4"/>
  <c r="BA41" i="4"/>
  <c r="BA40" i="4"/>
  <c r="BA38" i="4"/>
  <c r="BA12" i="1" s="1"/>
  <c r="BA15" i="1" s="1"/>
  <c r="BA17" i="1" s="1"/>
  <c r="BA20" i="1" s="1"/>
  <c r="BA22" i="1" s="1"/>
  <c r="BA13" i="4"/>
  <c r="AZ48" i="1"/>
  <c r="AZ43" i="1"/>
  <c r="AR25" i="2"/>
  <c r="AR33" i="2" s="1"/>
  <c r="AR17" i="2"/>
  <c r="AR10" i="2"/>
  <c r="AZ19" i="3"/>
  <c r="AZ11" i="3"/>
  <c r="AZ80" i="4"/>
  <c r="AZ78" i="4"/>
  <c r="AZ33" i="1" s="1"/>
  <c r="AZ68" i="4"/>
  <c r="AZ42" i="4"/>
  <c r="AZ41" i="4"/>
  <c r="AZ40" i="4"/>
  <c r="AZ38" i="4"/>
  <c r="AZ12" i="1" s="1"/>
  <c r="AZ15" i="1" s="1"/>
  <c r="AZ17" i="1" s="1"/>
  <c r="AZ20" i="1" s="1"/>
  <c r="AZ22" i="1" s="1"/>
  <c r="AZ13" i="4"/>
  <c r="BC7" i="4"/>
  <c r="BC27" i="4" s="1"/>
  <c r="AY48" i="1"/>
  <c r="BC46" i="1"/>
  <c r="BC45" i="1"/>
  <c r="AY43" i="1"/>
  <c r="BC21" i="1"/>
  <c r="BC19" i="1"/>
  <c r="BC18" i="1"/>
  <c r="BC14" i="1"/>
  <c r="BC13" i="1"/>
  <c r="BC11" i="1"/>
  <c r="BC8" i="1"/>
  <c r="AQ25" i="2"/>
  <c r="AQ33" i="2" s="1"/>
  <c r="AQ17" i="2"/>
  <c r="AQ10" i="2"/>
  <c r="BC34" i="3"/>
  <c r="BC30" i="3"/>
  <c r="BC27" i="3"/>
  <c r="BC26" i="3"/>
  <c r="BC23" i="3"/>
  <c r="AY19" i="3"/>
  <c r="BC18" i="3"/>
  <c r="BC17" i="3"/>
  <c r="BC16" i="3"/>
  <c r="BC15" i="3"/>
  <c r="BC13" i="3"/>
  <c r="AY11" i="3"/>
  <c r="BC10" i="3"/>
  <c r="BC7" i="3"/>
  <c r="AY80" i="4"/>
  <c r="AY78" i="4"/>
  <c r="AY33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5" i="2"/>
  <c r="AO33" i="2" s="1"/>
  <c r="AW37" i="4"/>
  <c r="AW31" i="4"/>
  <c r="AN25" i="2"/>
  <c r="AN33" i="2" s="1"/>
  <c r="AU80" i="4"/>
  <c r="AU40" i="4"/>
  <c r="AU41" i="4"/>
  <c r="AU42" i="4"/>
  <c r="AM25" i="2"/>
  <c r="AM33" i="2" s="1"/>
  <c r="AW30" i="3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3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2" i="1" s="1"/>
  <c r="AV15" i="1" s="1"/>
  <c r="AV17" i="1" s="1"/>
  <c r="AV20" i="1" s="1"/>
  <c r="AU38" i="4"/>
  <c r="AT38" i="4"/>
  <c r="AW36" i="4"/>
  <c r="AW35" i="4"/>
  <c r="AO27" i="6" s="1"/>
  <c r="AW34" i="4"/>
  <c r="AW33" i="4"/>
  <c r="AW32" i="4"/>
  <c r="AW15" i="4"/>
  <c r="AW26" i="4" s="1"/>
  <c r="AV13" i="4"/>
  <c r="AU13" i="4"/>
  <c r="AT13" i="4"/>
  <c r="AS13" i="4"/>
  <c r="AS16" i="4" s="1"/>
  <c r="AW12" i="4"/>
  <c r="AW11" i="4"/>
  <c r="AW10" i="4"/>
  <c r="AW28" i="4" s="1"/>
  <c r="AW9" i="4"/>
  <c r="AW8" i="4"/>
  <c r="AW7" i="4"/>
  <c r="AW6" i="4"/>
  <c r="AW34" i="3"/>
  <c r="AW27" i="3"/>
  <c r="AW26" i="3"/>
  <c r="AW23" i="3"/>
  <c r="AV19" i="3"/>
  <c r="AU19" i="3"/>
  <c r="AT19" i="3"/>
  <c r="AS19" i="3"/>
  <c r="AW18" i="3"/>
  <c r="AW17" i="3"/>
  <c r="AW16" i="3"/>
  <c r="AW15" i="3"/>
  <c r="AW13" i="3"/>
  <c r="AW10" i="3"/>
  <c r="AW7" i="3"/>
  <c r="AL25" i="2"/>
  <c r="AL33" i="2" s="1"/>
  <c r="AO17" i="2"/>
  <c r="AN17" i="2"/>
  <c r="AM17" i="2"/>
  <c r="AL17" i="2"/>
  <c r="AO10" i="2"/>
  <c r="AO19" i="2" s="1"/>
  <c r="AN10" i="2"/>
  <c r="AM10" i="2"/>
  <c r="AL10" i="2"/>
  <c r="AS48" i="1"/>
  <c r="AW46" i="1"/>
  <c r="AW45" i="1"/>
  <c r="AS43" i="1"/>
  <c r="AW21" i="1"/>
  <c r="AW19" i="1"/>
  <c r="AW18" i="1"/>
  <c r="AW16" i="1"/>
  <c r="AW14" i="1"/>
  <c r="AW13" i="1"/>
  <c r="AW11" i="1"/>
  <c r="AW9" i="1"/>
  <c r="AW8" i="1"/>
  <c r="AT12" i="1"/>
  <c r="AT15" i="1" s="1"/>
  <c r="AT17" i="1" s="1"/>
  <c r="AT20" i="1" s="1"/>
  <c r="AU11" i="3"/>
  <c r="AT11" i="3"/>
  <c r="AV11" i="3"/>
  <c r="AS11" i="3"/>
  <c r="AP43" i="1"/>
  <c r="AP48" i="1"/>
  <c r="AP42" i="4"/>
  <c r="AP40" i="4"/>
  <c r="AP41" i="4"/>
  <c r="AP7" i="3"/>
  <c r="AO43" i="1"/>
  <c r="AN43" i="1"/>
  <c r="AM43" i="1"/>
  <c r="AO7" i="3"/>
  <c r="AN7" i="3"/>
  <c r="AM7" i="3"/>
  <c r="AM48" i="1"/>
  <c r="AN48" i="1"/>
  <c r="AO48" i="1"/>
  <c r="AO80" i="4"/>
  <c r="AO42" i="4"/>
  <c r="AO41" i="4"/>
  <c r="AO40" i="4"/>
  <c r="AN80" i="4"/>
  <c r="AN42" i="4"/>
  <c r="AN41" i="4"/>
  <c r="AN40" i="4"/>
  <c r="AH10" i="2"/>
  <c r="AM80" i="4"/>
  <c r="AM42" i="4"/>
  <c r="AM41" i="4"/>
  <c r="AM40" i="4"/>
  <c r="AJ7" i="6"/>
  <c r="AI7" i="6"/>
  <c r="AH7" i="6"/>
  <c r="AG7" i="6"/>
  <c r="AP78" i="4"/>
  <c r="AP33" i="1" s="1"/>
  <c r="AO78" i="4"/>
  <c r="AO33" i="1" s="1"/>
  <c r="AN78" i="4"/>
  <c r="AN33" i="1" s="1"/>
  <c r="AM78" i="4"/>
  <c r="AM33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O39" i="4" s="1"/>
  <c r="AN38" i="4"/>
  <c r="AN39" i="4" s="1"/>
  <c r="AM38" i="4"/>
  <c r="AQ37" i="4"/>
  <c r="AQ36" i="4"/>
  <c r="AQ35" i="4"/>
  <c r="AQ34" i="4"/>
  <c r="AQ33" i="4"/>
  <c r="AQ32" i="4"/>
  <c r="AQ31" i="4"/>
  <c r="AQ40" i="4" s="1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Q34" i="3"/>
  <c r="AQ27" i="3"/>
  <c r="AQ26" i="3"/>
  <c r="AQ23" i="3"/>
  <c r="AP19" i="3"/>
  <c r="AO19" i="3"/>
  <c r="AN19" i="3"/>
  <c r="AM19" i="3"/>
  <c r="AQ18" i="3"/>
  <c r="AQ17" i="3"/>
  <c r="AQ16" i="3"/>
  <c r="AQ15" i="3"/>
  <c r="AQ13" i="3"/>
  <c r="AQ10" i="3"/>
  <c r="AJ25" i="2"/>
  <c r="AJ33" i="2" s="1"/>
  <c r="AI25" i="2"/>
  <c r="AI33" i="2" s="1"/>
  <c r="AH25" i="2"/>
  <c r="AG25" i="2"/>
  <c r="AG33" i="2" s="1"/>
  <c r="AJ17" i="2"/>
  <c r="AI17" i="2"/>
  <c r="AH17" i="2"/>
  <c r="AG17" i="2"/>
  <c r="AJ10" i="2"/>
  <c r="AI10" i="2"/>
  <c r="AG10" i="2"/>
  <c r="AQ46" i="1"/>
  <c r="AQ45" i="1"/>
  <c r="AQ21" i="1"/>
  <c r="AQ19" i="1"/>
  <c r="AQ18" i="1"/>
  <c r="AQ16" i="1"/>
  <c r="AQ14" i="1"/>
  <c r="AQ13" i="1"/>
  <c r="AQ11" i="1"/>
  <c r="AQ9" i="1"/>
  <c r="AQ8" i="1"/>
  <c r="AJ42" i="4"/>
  <c r="AJ41" i="4"/>
  <c r="AJ40" i="4"/>
  <c r="AK26" i="3"/>
  <c r="AK10" i="3"/>
  <c r="AI80" i="4"/>
  <c r="AI42" i="4"/>
  <c r="AI41" i="4"/>
  <c r="AI40" i="4"/>
  <c r="AK38" i="1"/>
  <c r="AH80" i="4"/>
  <c r="AG80" i="4"/>
  <c r="AH47" i="1"/>
  <c r="AH42" i="4"/>
  <c r="AH41" i="4"/>
  <c r="AH40" i="4"/>
  <c r="AK34" i="3"/>
  <c r="AK27" i="3"/>
  <c r="AK23" i="3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H28" i="3" s="1"/>
  <c r="AG11" i="3"/>
  <c r="AG21" i="3" s="1"/>
  <c r="AG28" i="3" s="1"/>
  <c r="AK7" i="3"/>
  <c r="AK6" i="3"/>
  <c r="AE25" i="2"/>
  <c r="AE33" i="2" s="1"/>
  <c r="AD25" i="2"/>
  <c r="AD33" i="2" s="1"/>
  <c r="AC25" i="2"/>
  <c r="AC33" i="2" s="1"/>
  <c r="AB25" i="2"/>
  <c r="AB33" i="2" s="1"/>
  <c r="AE17" i="2"/>
  <c r="AD17" i="2"/>
  <c r="AD19" i="2" s="1"/>
  <c r="AC17" i="2"/>
  <c r="AC19" i="2" s="1"/>
  <c r="AB17" i="2"/>
  <c r="AE10" i="2"/>
  <c r="AD10" i="2"/>
  <c r="AC10" i="2"/>
  <c r="AB10" i="2"/>
  <c r="AK46" i="1"/>
  <c r="AK45" i="1"/>
  <c r="AE45" i="1"/>
  <c r="AE7" i="6"/>
  <c r="AD7" i="6"/>
  <c r="AC7" i="6"/>
  <c r="AB7" i="6"/>
  <c r="AJ78" i="4"/>
  <c r="AI78" i="4"/>
  <c r="AH78" i="4"/>
  <c r="AG78" i="4"/>
  <c r="AJ68" i="4"/>
  <c r="AO79" i="4" s="1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42" i="4" s="1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7" i="1"/>
  <c r="AK21" i="1"/>
  <c r="AK19" i="1"/>
  <c r="AK18" i="1"/>
  <c r="AK16" i="1"/>
  <c r="AK14" i="1"/>
  <c r="AK13" i="1"/>
  <c r="AJ12" i="1"/>
  <c r="AJ15" i="1" s="1"/>
  <c r="AJ17" i="1" s="1"/>
  <c r="AJ20" i="1" s="1"/>
  <c r="AJ22" i="1" s="1"/>
  <c r="AI12" i="1"/>
  <c r="AI15" i="1" s="1"/>
  <c r="AI17" i="1" s="1"/>
  <c r="AI20" i="1" s="1"/>
  <c r="AI22" i="1" s="1"/>
  <c r="AH12" i="1"/>
  <c r="AH15" i="1" s="1"/>
  <c r="AH17" i="1" s="1"/>
  <c r="AH20" i="1" s="1"/>
  <c r="AH22" i="1" s="1"/>
  <c r="AG12" i="1"/>
  <c r="AG15" i="1" s="1"/>
  <c r="AG17" i="1" s="1"/>
  <c r="AG20" i="1" s="1"/>
  <c r="AG22" i="1" s="1"/>
  <c r="AK11" i="1"/>
  <c r="AK9" i="1"/>
  <c r="AK8" i="1"/>
  <c r="AK7" i="1"/>
  <c r="AK5" i="1"/>
  <c r="AD43" i="1"/>
  <c r="AE6" i="3"/>
  <c r="AE38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H11" i="6" s="1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E13" i="4"/>
  <c r="E16" i="4" s="1"/>
  <c r="E25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5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I39" i="4" s="1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X28" i="3" s="1"/>
  <c r="AA19" i="3"/>
  <c r="AA21" i="3" s="1"/>
  <c r="AA28" i="3" s="1"/>
  <c r="AB19" i="3"/>
  <c r="AC19" i="3"/>
  <c r="AD19" i="3"/>
  <c r="G23" i="3"/>
  <c r="M23" i="3"/>
  <c r="S23" i="3"/>
  <c r="Y23" i="3"/>
  <c r="AE23" i="3"/>
  <c r="G27" i="3"/>
  <c r="M27" i="3"/>
  <c r="S27" i="3"/>
  <c r="Y27" i="3"/>
  <c r="AE27" i="3"/>
  <c r="G34" i="3"/>
  <c r="M34" i="3"/>
  <c r="S34" i="3"/>
  <c r="Y34" i="3"/>
  <c r="AE34" i="3"/>
  <c r="C10" i="2"/>
  <c r="D10" i="2"/>
  <c r="E10" i="2"/>
  <c r="F10" i="2"/>
  <c r="H10" i="2"/>
  <c r="I10" i="2"/>
  <c r="J10" i="2"/>
  <c r="K10" i="2"/>
  <c r="M10" i="2"/>
  <c r="N10" i="2"/>
  <c r="O10" i="2"/>
  <c r="P10" i="2"/>
  <c r="R10" i="2"/>
  <c r="S10" i="2"/>
  <c r="T10" i="2"/>
  <c r="U10" i="2"/>
  <c r="W10" i="2"/>
  <c r="X10" i="2"/>
  <c r="Y10" i="2"/>
  <c r="Z10" i="2"/>
  <c r="C17" i="2"/>
  <c r="D17" i="2"/>
  <c r="E17" i="2"/>
  <c r="E19" i="2" s="1"/>
  <c r="F17" i="2"/>
  <c r="H17" i="2"/>
  <c r="I17" i="2"/>
  <c r="J17" i="2"/>
  <c r="K17" i="2"/>
  <c r="M17" i="2"/>
  <c r="N17" i="2"/>
  <c r="O17" i="2"/>
  <c r="O19" i="2" s="1"/>
  <c r="P17" i="2"/>
  <c r="R17" i="2"/>
  <c r="S17" i="2"/>
  <c r="T17" i="2"/>
  <c r="U17" i="2"/>
  <c r="W17" i="2"/>
  <c r="X17" i="2"/>
  <c r="Y17" i="2"/>
  <c r="Y19" i="2" s="1"/>
  <c r="Z17" i="2"/>
  <c r="C25" i="2"/>
  <c r="C33" i="2" s="1"/>
  <c r="D25" i="2"/>
  <c r="D33" i="2" s="1"/>
  <c r="E25" i="2"/>
  <c r="E33" i="2" s="1"/>
  <c r="F25" i="2"/>
  <c r="F33" i="2" s="1"/>
  <c r="H25" i="2"/>
  <c r="H33" i="2" s="1"/>
  <c r="I25" i="2"/>
  <c r="I33" i="2" s="1"/>
  <c r="J25" i="2"/>
  <c r="J33" i="2" s="1"/>
  <c r="K25" i="2"/>
  <c r="K33" i="2" s="1"/>
  <c r="M25" i="2"/>
  <c r="M33" i="2" s="1"/>
  <c r="N25" i="2"/>
  <c r="N33" i="2" s="1"/>
  <c r="O25" i="2"/>
  <c r="O33" i="2" s="1"/>
  <c r="P25" i="2"/>
  <c r="R25" i="2"/>
  <c r="R33" i="2" s="1"/>
  <c r="S25" i="2"/>
  <c r="S33" i="2" s="1"/>
  <c r="T25" i="2"/>
  <c r="U25" i="2"/>
  <c r="U33" i="2" s="1"/>
  <c r="W25" i="2"/>
  <c r="W33" i="2" s="1"/>
  <c r="X25" i="2"/>
  <c r="Y25" i="2"/>
  <c r="Y33" i="2" s="1"/>
  <c r="Z25" i="2"/>
  <c r="Z33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1" i="1"/>
  <c r="M11" i="1"/>
  <c r="S11" i="1"/>
  <c r="Y11" i="1"/>
  <c r="AE11" i="1"/>
  <c r="C12" i="1"/>
  <c r="C15" i="1" s="1"/>
  <c r="C17" i="1" s="1"/>
  <c r="C20" i="1" s="1"/>
  <c r="C22" i="1" s="1"/>
  <c r="D12" i="1"/>
  <c r="D15" i="1" s="1"/>
  <c r="D17" i="1" s="1"/>
  <c r="D20" i="1" s="1"/>
  <c r="D22" i="1" s="1"/>
  <c r="E12" i="1"/>
  <c r="E15" i="1" s="1"/>
  <c r="E17" i="1" s="1"/>
  <c r="E20" i="1" s="1"/>
  <c r="E22" i="1" s="1"/>
  <c r="F12" i="1"/>
  <c r="F15" i="1" s="1"/>
  <c r="F17" i="1" s="1"/>
  <c r="F20" i="1" s="1"/>
  <c r="F22" i="1" s="1"/>
  <c r="I12" i="1"/>
  <c r="I15" i="1" s="1"/>
  <c r="I17" i="1" s="1"/>
  <c r="I20" i="1" s="1"/>
  <c r="I22" i="1" s="1"/>
  <c r="J12" i="1"/>
  <c r="J15" i="1" s="1"/>
  <c r="J17" i="1" s="1"/>
  <c r="J20" i="1" s="1"/>
  <c r="J22" i="1" s="1"/>
  <c r="K12" i="1"/>
  <c r="K15" i="1" s="1"/>
  <c r="K17" i="1" s="1"/>
  <c r="K20" i="1" s="1"/>
  <c r="K22" i="1" s="1"/>
  <c r="L12" i="1"/>
  <c r="L15" i="1" s="1"/>
  <c r="L17" i="1" s="1"/>
  <c r="L20" i="1" s="1"/>
  <c r="L22" i="1" s="1"/>
  <c r="O12" i="1"/>
  <c r="O15" i="1" s="1"/>
  <c r="O17" i="1" s="1"/>
  <c r="O20" i="1" s="1"/>
  <c r="O22" i="1" s="1"/>
  <c r="P12" i="1"/>
  <c r="P15" i="1" s="1"/>
  <c r="P17" i="1" s="1"/>
  <c r="P20" i="1" s="1"/>
  <c r="P22" i="1" s="1"/>
  <c r="Q12" i="1"/>
  <c r="Q15" i="1" s="1"/>
  <c r="Q17" i="1" s="1"/>
  <c r="Q20" i="1" s="1"/>
  <c r="Q22" i="1" s="1"/>
  <c r="R12" i="1"/>
  <c r="R15" i="1" s="1"/>
  <c r="R17" i="1" s="1"/>
  <c r="R20" i="1" s="1"/>
  <c r="R22" i="1" s="1"/>
  <c r="U12" i="1"/>
  <c r="U15" i="1" s="1"/>
  <c r="U17" i="1" s="1"/>
  <c r="U20" i="1" s="1"/>
  <c r="U22" i="1" s="1"/>
  <c r="V12" i="1"/>
  <c r="V15" i="1" s="1"/>
  <c r="V17" i="1" s="1"/>
  <c r="V20" i="1" s="1"/>
  <c r="V22" i="1" s="1"/>
  <c r="W12" i="1"/>
  <c r="W15" i="1" s="1"/>
  <c r="W17" i="1" s="1"/>
  <c r="W20" i="1" s="1"/>
  <c r="W22" i="1" s="1"/>
  <c r="X12" i="1"/>
  <c r="X15" i="1" s="1"/>
  <c r="X17" i="1" s="1"/>
  <c r="X20" i="1" s="1"/>
  <c r="X22" i="1" s="1"/>
  <c r="AA12" i="1"/>
  <c r="AA15" i="1" s="1"/>
  <c r="AA17" i="1" s="1"/>
  <c r="AA20" i="1" s="1"/>
  <c r="AA22" i="1" s="1"/>
  <c r="AB12" i="1"/>
  <c r="AB15" i="1" s="1"/>
  <c r="AB17" i="1" s="1"/>
  <c r="AB20" i="1" s="1"/>
  <c r="AB22" i="1" s="1"/>
  <c r="AC12" i="1"/>
  <c r="AC15" i="1" s="1"/>
  <c r="AC17" i="1" s="1"/>
  <c r="AC20" i="1" s="1"/>
  <c r="AC22" i="1" s="1"/>
  <c r="AD12" i="1"/>
  <c r="AD15" i="1" s="1"/>
  <c r="AD17" i="1" s="1"/>
  <c r="AD20" i="1" s="1"/>
  <c r="AD22" i="1" s="1"/>
  <c r="G13" i="1"/>
  <c r="M13" i="1"/>
  <c r="S13" i="1"/>
  <c r="Y13" i="1"/>
  <c r="AE13" i="1"/>
  <c r="G14" i="1"/>
  <c r="M14" i="1"/>
  <c r="S14" i="1"/>
  <c r="Y14" i="1"/>
  <c r="AE14" i="1"/>
  <c r="G16" i="1"/>
  <c r="M16" i="1"/>
  <c r="S16" i="1"/>
  <c r="Y16" i="1"/>
  <c r="AE16" i="1"/>
  <c r="G18" i="1"/>
  <c r="M18" i="1"/>
  <c r="S18" i="1"/>
  <c r="Y18" i="1"/>
  <c r="AE18" i="1"/>
  <c r="G19" i="1"/>
  <c r="M19" i="1"/>
  <c r="S19" i="1"/>
  <c r="Y19" i="1"/>
  <c r="AE19" i="1"/>
  <c r="G21" i="1"/>
  <c r="M21" i="1"/>
  <c r="S21" i="1"/>
  <c r="Y21" i="1"/>
  <c r="AE21" i="1"/>
  <c r="G37" i="1"/>
  <c r="M37" i="1"/>
  <c r="S37" i="1"/>
  <c r="Y37" i="1"/>
  <c r="G38" i="1"/>
  <c r="M38" i="1"/>
  <c r="S38" i="1"/>
  <c r="Y38" i="1"/>
  <c r="G45" i="1"/>
  <c r="M45" i="1"/>
  <c r="S45" i="1"/>
  <c r="Y45" i="1"/>
  <c r="G46" i="1"/>
  <c r="M46" i="1"/>
  <c r="S46" i="1"/>
  <c r="Y46" i="1"/>
  <c r="AE46" i="1"/>
  <c r="AD41" i="4"/>
  <c r="E24" i="6"/>
  <c r="AD11" i="3"/>
  <c r="AE37" i="1"/>
  <c r="AD42" i="4"/>
  <c r="AE7" i="4"/>
  <c r="AE6" i="4"/>
  <c r="AE40" i="4" s="1"/>
  <c r="AD13" i="4"/>
  <c r="AD40" i="4"/>
  <c r="AE10" i="4"/>
  <c r="AH33" i="2"/>
  <c r="AO16" i="4"/>
  <c r="AO25" i="4" s="1"/>
  <c r="P41" i="4"/>
  <c r="E41" i="4"/>
  <c r="W16" i="4"/>
  <c r="W25" i="1" s="1"/>
  <c r="AE19" i="2"/>
  <c r="K41" i="4"/>
  <c r="AW6" i="3"/>
  <c r="BC31" i="4"/>
  <c r="BC41" i="4" s="1"/>
  <c r="AY38" i="4"/>
  <c r="AY40" i="4"/>
  <c r="BB38" i="4"/>
  <c r="AX24" i="6" s="1"/>
  <c r="BB41" i="4"/>
  <c r="BC9" i="1"/>
  <c r="AU16" i="4"/>
  <c r="BE39" i="4"/>
  <c r="BE16" i="4"/>
  <c r="J41" i="4"/>
  <c r="AO12" i="1"/>
  <c r="AO15" i="1" s="1"/>
  <c r="AO17" i="1" s="1"/>
  <c r="AO20" i="1" s="1"/>
  <c r="AI41" i="2" s="1"/>
  <c r="AT16" i="4"/>
  <c r="AT25" i="4" s="1"/>
  <c r="AV16" i="4"/>
  <c r="AV25" i="4" s="1"/>
  <c r="AU12" i="1"/>
  <c r="AU15" i="1" s="1"/>
  <c r="AU17" i="1" s="1"/>
  <c r="AU20" i="1" s="1"/>
  <c r="C19" i="3"/>
  <c r="Y6" i="4"/>
  <c r="Y40" i="4" s="1"/>
  <c r="X40" i="4"/>
  <c r="AS40" i="4"/>
  <c r="BF12" i="1"/>
  <c r="BF15" i="1" s="1"/>
  <c r="BF17" i="1" s="1"/>
  <c r="BF20" i="1" s="1"/>
  <c r="R80" i="4"/>
  <c r="D16" i="4"/>
  <c r="D25" i="1" s="1"/>
  <c r="X42" i="4"/>
  <c r="BI40" i="4"/>
  <c r="R19" i="2" l="1"/>
  <c r="H19" i="2"/>
  <c r="Y38" i="4"/>
  <c r="U24" i="6" s="1"/>
  <c r="AK40" i="4"/>
  <c r="Z19" i="2"/>
  <c r="P19" i="2"/>
  <c r="F19" i="2"/>
  <c r="AB21" i="3"/>
  <c r="AB28" i="3" s="1"/>
  <c r="AQ38" i="4"/>
  <c r="AJ24" i="6" s="1"/>
  <c r="V21" i="3"/>
  <c r="V28" i="3" s="1"/>
  <c r="S19" i="2"/>
  <c r="I19" i="2"/>
  <c r="BM79" i="4"/>
  <c r="BC68" i="4"/>
  <c r="S42" i="4"/>
  <c r="AA39" i="4"/>
  <c r="C39" i="4"/>
  <c r="X19" i="2"/>
  <c r="N19" i="2"/>
  <c r="D19" i="2"/>
  <c r="AG39" i="4"/>
  <c r="Q39" i="4"/>
  <c r="W19" i="2"/>
  <c r="M19" i="2"/>
  <c r="C19" i="2"/>
  <c r="AS79" i="4"/>
  <c r="K19" i="2"/>
  <c r="AK12" i="1"/>
  <c r="AK15" i="1" s="1"/>
  <c r="AK17" i="1" s="1"/>
  <c r="AK20" i="1" s="1"/>
  <c r="AK22" i="1" s="1"/>
  <c r="AK19" i="3"/>
  <c r="AI19" i="2"/>
  <c r="AT79" i="4"/>
  <c r="BA79" i="4"/>
  <c r="BH79" i="4"/>
  <c r="U19" i="2"/>
  <c r="AC39" i="4"/>
  <c r="T19" i="2"/>
  <c r="J19" i="2"/>
  <c r="AJ19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7" i="1"/>
  <c r="AD11" i="6"/>
  <c r="AG11" i="6"/>
  <c r="AG15" i="6" s="1"/>
  <c r="AM47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7" i="1"/>
  <c r="AE11" i="6"/>
  <c r="AE15" i="6" s="1"/>
  <c r="AH11" i="6"/>
  <c r="AH15" i="6" s="1"/>
  <c r="AN47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7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7" i="1"/>
  <c r="AV79" i="4"/>
  <c r="AR11" i="6"/>
  <c r="AR15" i="6" s="1"/>
  <c r="AV11" i="6"/>
  <c r="AV15" i="6" s="1"/>
  <c r="BF36" i="6"/>
  <c r="BF26" i="6"/>
  <c r="AG19" i="2"/>
  <c r="AH19" i="2"/>
  <c r="AZ39" i="4"/>
  <c r="AZ16" i="4"/>
  <c r="AJ39" i="4"/>
  <c r="AD16" i="4"/>
  <c r="AE16" i="4" s="1"/>
  <c r="V39" i="4"/>
  <c r="H17" i="6"/>
  <c r="H24" i="6" s="1"/>
  <c r="H26" i="6" s="1"/>
  <c r="BF21" i="3"/>
  <c r="BF28" i="3" s="1"/>
  <c r="BG21" i="3"/>
  <c r="BG28" i="3" s="1"/>
  <c r="BB21" i="3"/>
  <c r="BB28" i="3" s="1"/>
  <c r="AZ21" i="3"/>
  <c r="AZ28" i="3" s="1"/>
  <c r="AW11" i="3"/>
  <c r="J21" i="3"/>
  <c r="J28" i="3" s="1"/>
  <c r="M11" i="3"/>
  <c r="AU21" i="3"/>
  <c r="AU28" i="3" s="1"/>
  <c r="AQ19" i="2"/>
  <c r="AR19" i="2"/>
  <c r="T33" i="2"/>
  <c r="AB19" i="2"/>
  <c r="AL19" i="2"/>
  <c r="AN19" i="2"/>
  <c r="AS19" i="2"/>
  <c r="AT19" i="2"/>
  <c r="AM19" i="2"/>
  <c r="AX19" i="2"/>
  <c r="Y12" i="1"/>
  <c r="Y15" i="1" s="1"/>
  <c r="Y17" i="1" s="1"/>
  <c r="Y20" i="1" s="1"/>
  <c r="Y22" i="1" s="1"/>
  <c r="S12" i="1"/>
  <c r="S15" i="1" s="1"/>
  <c r="S17" i="1" s="1"/>
  <c r="S20" i="1" s="1"/>
  <c r="S22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2" i="1"/>
  <c r="G15" i="1" s="1"/>
  <c r="G17" i="1" s="1"/>
  <c r="G20" i="1" s="1"/>
  <c r="G22" i="1" s="1"/>
  <c r="O79" i="4"/>
  <c r="AC24" i="6"/>
  <c r="Y24" i="6"/>
  <c r="Y36" i="6" s="1"/>
  <c r="R24" i="6"/>
  <c r="D24" i="6"/>
  <c r="D26" i="6" s="1"/>
  <c r="D28" i="6" s="1"/>
  <c r="U16" i="4"/>
  <c r="U25" i="1" s="1"/>
  <c r="S15" i="4"/>
  <c r="S41" i="4" s="1"/>
  <c r="C16" i="4"/>
  <c r="C25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S28" i="3" s="1"/>
  <c r="AD21" i="3"/>
  <c r="AD28" i="3" s="1"/>
  <c r="L21" i="3"/>
  <c r="L28" i="3" s="1"/>
  <c r="C21" i="3"/>
  <c r="C28" i="3" s="1"/>
  <c r="AE19" i="3"/>
  <c r="Y11" i="3"/>
  <c r="AK11" i="3"/>
  <c r="AK21" i="3" s="1"/>
  <c r="AK28" i="3" s="1"/>
  <c r="BE21" i="3"/>
  <c r="BE28" i="3" s="1"/>
  <c r="S19" i="3"/>
  <c r="O21" i="3"/>
  <c r="O28" i="3" s="1"/>
  <c r="AV21" i="3"/>
  <c r="AV28" i="3" s="1"/>
  <c r="AT21" i="3"/>
  <c r="AT28" i="3" s="1"/>
  <c r="M19" i="3"/>
  <c r="Y19" i="3"/>
  <c r="D21" i="3"/>
  <c r="D28" i="3" s="1"/>
  <c r="AW37" i="1"/>
  <c r="U21" i="3"/>
  <c r="U28" i="3" s="1"/>
  <c r="BA21" i="3"/>
  <c r="BA28" i="3" s="1"/>
  <c r="Q21" i="3"/>
  <c r="Q28" i="3" s="1"/>
  <c r="E21" i="3"/>
  <c r="E28" i="3" s="1"/>
  <c r="BC11" i="3"/>
  <c r="G19" i="3"/>
  <c r="AQ19" i="3"/>
  <c r="F21" i="3"/>
  <c r="F28" i="3" s="1"/>
  <c r="AY21" i="3"/>
  <c r="AY28" i="3" s="1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5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W28" i="3" s="1"/>
  <c r="BC19" i="3"/>
  <c r="P21" i="3"/>
  <c r="P28" i="3" s="1"/>
  <c r="AJ21" i="3"/>
  <c r="AJ28" i="3" s="1"/>
  <c r="I21" i="3"/>
  <c r="I28" i="3" s="1"/>
  <c r="R21" i="3"/>
  <c r="R28" i="3" s="1"/>
  <c r="BC37" i="1"/>
  <c r="AC21" i="3"/>
  <c r="AC28" i="3" s="1"/>
  <c r="K21" i="3"/>
  <c r="K28" i="3" s="1"/>
  <c r="S11" i="3"/>
  <c r="S21" i="3" s="1"/>
  <c r="S28" i="3" s="1"/>
  <c r="AQ7" i="3"/>
  <c r="AW19" i="3"/>
  <c r="AW21" i="3" s="1"/>
  <c r="AW28" i="3" s="1"/>
  <c r="BO21" i="3"/>
  <c r="BO28" i="3" s="1"/>
  <c r="AW19" i="2"/>
  <c r="AY19" i="2"/>
  <c r="AT33" i="2"/>
  <c r="P33" i="2"/>
  <c r="X33" i="2"/>
  <c r="AS33" i="2"/>
  <c r="BA31" i="1" s="1"/>
  <c r="AV19" i="2"/>
  <c r="AW38" i="1"/>
  <c r="BC38" i="1"/>
  <c r="M12" i="1"/>
  <c r="M15" i="1" s="1"/>
  <c r="M17" i="1" s="1"/>
  <c r="M20" i="1" s="1"/>
  <c r="M22" i="1" s="1"/>
  <c r="AQ38" i="1"/>
  <c r="BI38" i="1"/>
  <c r="AE12" i="1"/>
  <c r="AE15" i="1" s="1"/>
  <c r="AE17" i="1" s="1"/>
  <c r="AE20" i="1" s="1"/>
  <c r="AE22" i="1" s="1"/>
  <c r="BK22" i="1"/>
  <c r="BA41" i="2"/>
  <c r="AM15" i="6"/>
  <c r="BO25" i="4"/>
  <c r="BO7" i="1"/>
  <c r="BO12" i="1" s="1"/>
  <c r="BO15" i="1" s="1"/>
  <c r="BO17" i="1" s="1"/>
  <c r="BO20" i="1" s="1"/>
  <c r="BO22" i="1" s="1"/>
  <c r="BO5" i="1"/>
  <c r="AO15" i="6"/>
  <c r="AO6" i="3"/>
  <c r="AO11" i="3" s="1"/>
  <c r="AO21" i="3" s="1"/>
  <c r="AO28" i="3" s="1"/>
  <c r="BB25" i="4"/>
  <c r="BE25" i="4"/>
  <c r="AI25" i="4"/>
  <c r="AZ25" i="4"/>
  <c r="AH25" i="4"/>
  <c r="BI37" i="1"/>
  <c r="BH21" i="3"/>
  <c r="BH28" i="3" s="1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AI28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2" i="1"/>
  <c r="AN15" i="1" s="1"/>
  <c r="AN17" i="1" s="1"/>
  <c r="AN20" i="1" s="1"/>
  <c r="AH41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AQ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U36" i="6"/>
  <c r="AY12" i="1"/>
  <c r="AY15" i="1" s="1"/>
  <c r="AY17" i="1" s="1"/>
  <c r="AY20" i="1" s="1"/>
  <c r="AY22" i="1" s="1"/>
  <c r="BC7" i="1"/>
  <c r="BC12" i="1" s="1"/>
  <c r="BC15" i="1" s="1"/>
  <c r="BC17" i="1" s="1"/>
  <c r="BC20" i="1" s="1"/>
  <c r="BC22" i="1" s="1"/>
  <c r="AC36" i="6"/>
  <c r="AC26" i="6"/>
  <c r="AP12" i="1"/>
  <c r="AP15" i="1" s="1"/>
  <c r="AP17" i="1" s="1"/>
  <c r="AP20" i="1" s="1"/>
  <c r="AJ41" i="2" s="1"/>
  <c r="AP6" i="3"/>
  <c r="AQ7" i="1"/>
  <c r="AQ12" i="1" s="1"/>
  <c r="AQ15" i="1" s="1"/>
  <c r="AQ17" i="1" s="1"/>
  <c r="AQ20" i="1" s="1"/>
  <c r="AQ22" i="1" s="1"/>
  <c r="BE12" i="1"/>
  <c r="BE15" i="1" s="1"/>
  <c r="BE17" i="1" s="1"/>
  <c r="BE20" i="1" s="1"/>
  <c r="BE22" i="1" s="1"/>
  <c r="BI7" i="1"/>
  <c r="BI12" i="1" s="1"/>
  <c r="BI15" i="1" s="1"/>
  <c r="BI17" i="1" s="1"/>
  <c r="BI20" i="1" s="1"/>
  <c r="BI22" i="1" s="1"/>
  <c r="AY24" i="6"/>
  <c r="BC38" i="4"/>
  <c r="AE38" i="4"/>
  <c r="S26" i="6"/>
  <c r="S36" i="6"/>
  <c r="AG26" i="6"/>
  <c r="AG36" i="6"/>
  <c r="E26" i="6"/>
  <c r="E28" i="6" s="1"/>
  <c r="AO22" i="1"/>
  <c r="AW41" i="2"/>
  <c r="BF22" i="1"/>
  <c r="R36" i="6"/>
  <c r="R26" i="6"/>
  <c r="AN41" i="2"/>
  <c r="AU22" i="1"/>
  <c r="AX41" i="2"/>
  <c r="BG22" i="1"/>
  <c r="AY41" i="2"/>
  <c r="BH22" i="1"/>
  <c r="AX36" i="6"/>
  <c r="AX26" i="6"/>
  <c r="AJ36" i="6"/>
  <c r="AJ26" i="6"/>
  <c r="AM41" i="2"/>
  <c r="AT22" i="1"/>
  <c r="AO41" i="2"/>
  <c r="AV22" i="1"/>
  <c r="M21" i="3" l="1"/>
  <c r="M28" i="3" s="1"/>
  <c r="AK16" i="4"/>
  <c r="S39" i="4"/>
  <c r="AE21" i="3"/>
  <c r="AE28" i="3" s="1"/>
  <c r="BC16" i="4"/>
  <c r="BC25" i="4" s="1"/>
  <c r="X39" i="4"/>
  <c r="G16" i="4"/>
  <c r="G25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5" i="1"/>
  <c r="Y25" i="1" s="1"/>
  <c r="Y16" i="4"/>
  <c r="S16" i="4"/>
  <c r="S25" i="1" s="1"/>
  <c r="Y26" i="6"/>
  <c r="Y28" i="6" s="1"/>
  <c r="Y32" i="6" s="1"/>
  <c r="N26" i="6"/>
  <c r="N28" i="6" s="1"/>
  <c r="N32" i="6" s="1"/>
  <c r="Y21" i="3"/>
  <c r="Y28" i="3" s="1"/>
  <c r="BC21" i="3"/>
  <c r="BC28" i="3" s="1"/>
  <c r="BB36" i="6"/>
  <c r="BB26" i="6"/>
  <c r="F26" i="6"/>
  <c r="F28" i="6" s="1"/>
  <c r="F32" i="6" s="1"/>
  <c r="AK25" i="4"/>
  <c r="AK39" i="4"/>
  <c r="G21" i="3"/>
  <c r="G28" i="3" s="1"/>
  <c r="BI21" i="3"/>
  <c r="BI28" i="3" s="1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N28" i="3" s="1"/>
  <c r="AD26" i="6"/>
  <c r="AD33" i="6" s="1"/>
  <c r="M39" i="4"/>
  <c r="AQ36" i="6"/>
  <c r="AW39" i="4"/>
  <c r="M16" i="4"/>
  <c r="M25" i="1" s="1"/>
  <c r="AM12" i="1"/>
  <c r="AM15" i="1" s="1"/>
  <c r="AM17" i="1" s="1"/>
  <c r="AM20" i="1" s="1"/>
  <c r="AG41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2" i="1"/>
  <c r="AV41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N33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BC33" i="6" l="1"/>
  <c r="BC25" i="1"/>
  <c r="AQ25" i="4"/>
  <c r="Y33" i="6"/>
  <c r="C40" i="2"/>
  <c r="C50" i="2" s="1"/>
  <c r="D38" i="2" s="1"/>
  <c r="D40" i="2" s="1"/>
  <c r="D50" i="2" s="1"/>
  <c r="E38" i="2" s="1"/>
  <c r="BB28" i="6"/>
  <c r="BB32" i="6" s="1"/>
  <c r="BB33" i="6"/>
  <c r="F33" i="6"/>
  <c r="Y39" i="4"/>
  <c r="AQ6" i="3"/>
  <c r="AQ11" i="3" s="1"/>
  <c r="AQ21" i="3" s="1"/>
  <c r="AQ28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2" i="1"/>
  <c r="AS12" i="1"/>
  <c r="AS15" i="1" s="1"/>
  <c r="AS17" i="1" s="1"/>
  <c r="AS20" i="1" s="1"/>
  <c r="AS22" i="1" s="1"/>
  <c r="AW7" i="1"/>
  <c r="AW12" i="1" s="1"/>
  <c r="AW15" i="1" s="1"/>
  <c r="AW17" i="1" s="1"/>
  <c r="AW20" i="1" s="1"/>
  <c r="AW22" i="1" s="1"/>
  <c r="AN36" i="6"/>
  <c r="AN26" i="6"/>
  <c r="BA28" i="6"/>
  <c r="BA32" i="6" s="1"/>
  <c r="BA33" i="6"/>
  <c r="AL36" i="6"/>
  <c r="AL26" i="6"/>
  <c r="AM21" i="3"/>
  <c r="AM28" i="3" s="1"/>
  <c r="AR28" i="6"/>
  <c r="AR32" i="6" s="1"/>
  <c r="AE33" i="6"/>
  <c r="BI25" i="4"/>
  <c r="AO28" i="6"/>
  <c r="AO32" i="6" s="1"/>
  <c r="AO33" i="6"/>
  <c r="Z26" i="6"/>
  <c r="Z36" i="6"/>
  <c r="AP21" i="3"/>
  <c r="AP28" i="3" s="1"/>
  <c r="AT36" i="6"/>
  <c r="AT26" i="6"/>
  <c r="E40" i="2" l="1"/>
  <c r="E50" i="2" s="1"/>
  <c r="F38" i="2" s="1"/>
  <c r="AL28" i="6"/>
  <c r="AL32" i="6" s="1"/>
  <c r="AL33" i="6"/>
  <c r="AQ37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40" i="2" l="1"/>
  <c r="F50" i="2" s="1"/>
  <c r="H38" i="2" s="1"/>
  <c r="H40" i="2" s="1"/>
  <c r="H50" i="2" s="1"/>
  <c r="I38" i="2" s="1"/>
  <c r="I40" i="2" s="1"/>
  <c r="I50" i="2" s="1"/>
  <c r="J38" i="2" s="1"/>
  <c r="J40" i="2" s="1"/>
  <c r="J50" i="2" s="1"/>
  <c r="K38" i="2" s="1"/>
  <c r="K40" i="2" s="1"/>
  <c r="K50" i="2" s="1"/>
  <c r="M38" i="2" s="1"/>
  <c r="M40" i="2" s="1"/>
  <c r="M50" i="2" s="1"/>
  <c r="N38" i="2" s="1"/>
  <c r="N40" i="2" s="1"/>
  <c r="N50" i="2" s="1"/>
  <c r="O38" i="2" s="1"/>
  <c r="O40" i="2" s="1"/>
  <c r="O50" i="2" s="1"/>
  <c r="P38" i="2" s="1"/>
  <c r="P40" i="2" s="1"/>
  <c r="P50" i="2" s="1"/>
  <c r="R38" i="2" s="1"/>
  <c r="R40" i="2" s="1"/>
  <c r="R50" i="2" s="1"/>
  <c r="S38" i="2" s="1"/>
  <c r="S40" i="2" s="1"/>
  <c r="S50" i="2" s="1"/>
  <c r="T38" i="2" s="1"/>
  <c r="T40" i="2" s="1"/>
  <c r="T50" i="2" s="1"/>
  <c r="U38" i="2" s="1"/>
  <c r="U40" i="2" s="1"/>
  <c r="U50" i="2" s="1"/>
  <c r="W38" i="2" s="1"/>
  <c r="W40" i="2" s="1"/>
  <c r="W50" i="2" s="1"/>
  <c r="X38" i="2" s="1"/>
  <c r="X40" i="2" s="1"/>
  <c r="X50" i="2" s="1"/>
  <c r="Y38" i="2" s="1"/>
  <c r="Y40" i="2" s="1"/>
  <c r="Y50" i="2" s="1"/>
  <c r="Z38" i="2" s="1"/>
  <c r="Z40" i="2" s="1"/>
  <c r="Z50" i="2" s="1"/>
  <c r="AB38" i="2" s="1"/>
  <c r="AB40" i="2" s="1"/>
  <c r="AB50" i="2" s="1"/>
  <c r="AC38" i="2" s="1"/>
  <c r="AC40" i="2" s="1"/>
  <c r="AC50" i="2" s="1"/>
  <c r="AD38" i="2" s="1"/>
  <c r="AD40" i="2" s="1"/>
  <c r="AD50" i="2" s="1"/>
  <c r="AE38" i="2" s="1"/>
  <c r="AE40" i="2" s="1"/>
  <c r="AE50" i="2" s="1"/>
  <c r="AG38" i="2" s="1"/>
  <c r="AG40" i="2" s="1"/>
  <c r="AG50" i="2" s="1"/>
  <c r="AH38" i="2" s="1"/>
  <c r="AH40" i="2" s="1"/>
  <c r="AH50" i="2" s="1"/>
  <c r="AI38" i="2" s="1"/>
  <c r="AI40" i="2" s="1"/>
  <c r="AI50" i="2" s="1"/>
  <c r="AJ38" i="2" s="1"/>
  <c r="AJ40" i="2" s="1"/>
  <c r="AJ50" i="2" s="1"/>
  <c r="AL38" i="2" s="1"/>
  <c r="AL40" i="2" s="1"/>
  <c r="AL50" i="2" s="1"/>
  <c r="AM38" i="2" s="1"/>
  <c r="AM40" i="2" s="1"/>
  <c r="AM50" i="2" s="1"/>
  <c r="AN38" i="2" s="1"/>
  <c r="AN40" i="2" s="1"/>
  <c r="AN50" i="2" s="1"/>
  <c r="AO38" i="2" s="1"/>
  <c r="AO40" i="2" s="1"/>
  <c r="AO50" i="2" s="1"/>
  <c r="AQ38" i="2" s="1"/>
  <c r="AQ40" i="2" s="1"/>
  <c r="AQ50" i="2" s="1"/>
  <c r="AR38" i="2" s="1"/>
  <c r="AR40" i="2" s="1"/>
  <c r="AR50" i="2" s="1"/>
  <c r="AS38" i="2" s="1"/>
  <c r="AS40" i="2" s="1"/>
  <c r="AS50" i="2" s="1"/>
  <c r="AT38" i="2" s="1"/>
  <c r="AT40" i="2" s="1"/>
  <c r="AT50" i="2" s="1"/>
  <c r="AV38" i="2" s="1"/>
  <c r="AV40" i="2" s="1"/>
  <c r="AV50" i="2" s="1"/>
  <c r="AW38" i="2" s="1"/>
  <c r="AW40" i="2" s="1"/>
  <c r="AW50" i="2" s="1"/>
  <c r="AX38" i="2" s="1"/>
  <c r="AX40" i="2" s="1"/>
  <c r="AX50" i="2" s="1"/>
  <c r="AY38" i="2" s="1"/>
  <c r="AY40" i="2" s="1"/>
  <c r="AY50" i="2" s="1"/>
  <c r="BA38" i="2" s="1"/>
  <c r="BA40" i="2" s="1"/>
  <c r="BA50" i="2" s="1"/>
  <c r="BB38" i="2" s="1"/>
  <c r="BB40" i="2" s="1"/>
  <c r="BB50" i="2" s="1"/>
  <c r="BC38" i="2" s="1"/>
  <c r="BC40" i="2" s="1"/>
  <c r="BC50" i="2" s="1"/>
  <c r="BD38" i="2" s="1"/>
  <c r="BD40" i="2" s="1"/>
  <c r="BD50" i="2" s="1"/>
  <c r="BF38" i="2" s="1"/>
  <c r="BF40" i="2" s="1"/>
  <c r="BF50" i="2" s="1"/>
  <c r="BG38" i="2" s="1"/>
  <c r="BG40" i="2" s="1"/>
  <c r="BG50" i="2" s="1"/>
  <c r="BH38" i="2" s="1"/>
  <c r="BH40" i="2" s="1"/>
  <c r="BH50" i="2" s="1"/>
  <c r="BI38" i="2" s="1"/>
  <c r="BI40" i="2" s="1"/>
  <c r="BI50" i="2" s="1"/>
  <c r="BK38" i="2" s="1"/>
  <c r="BK40" i="2" s="1"/>
  <c r="BK50" i="2" s="1"/>
  <c r="BL38" i="2" s="1"/>
  <c r="BL40" i="2" s="1"/>
  <c r="BL50" i="2" s="1"/>
  <c r="G32" i="3"/>
  <c r="G35" i="3" s="1"/>
  <c r="C35" i="3"/>
  <c r="D32" i="3" s="1"/>
  <c r="D35" i="3" s="1"/>
  <c r="E32" i="3" s="1"/>
  <c r="E35" i="3" s="1"/>
  <c r="F32" i="3" s="1"/>
  <c r="F35" i="3" s="1"/>
  <c r="I32" i="3" s="1"/>
  <c r="BM38" i="2" l="1"/>
  <c r="BM40" i="2" s="1"/>
  <c r="BM50" i="2" s="1"/>
  <c r="I35" i="3"/>
  <c r="J32" i="3" s="1"/>
  <c r="J35" i="3" s="1"/>
  <c r="K32" i="3" s="1"/>
  <c r="K35" i="3" s="1"/>
  <c r="L32" i="3" s="1"/>
  <c r="L35" i="3" s="1"/>
  <c r="O32" i="3" s="1"/>
  <c r="M32" i="3"/>
  <c r="M35" i="3" s="1"/>
  <c r="BN38" i="2" l="1"/>
  <c r="BN40" i="2" s="1"/>
  <c r="BN50" i="2" s="1"/>
  <c r="S32" i="3"/>
  <c r="S35" i="3" s="1"/>
  <c r="U32" i="3" s="1"/>
  <c r="O35" i="3"/>
  <c r="P32" i="3" s="1"/>
  <c r="P35" i="3" s="1"/>
  <c r="Q32" i="3" s="1"/>
  <c r="Q35" i="3" s="1"/>
  <c r="R32" i="3" s="1"/>
  <c r="R35" i="3" s="1"/>
  <c r="BP38" i="2" l="1"/>
  <c r="BP40" i="2" s="1"/>
  <c r="BP50" i="2" s="1"/>
  <c r="U35" i="3"/>
  <c r="V32" i="3" s="1"/>
  <c r="V35" i="3" s="1"/>
  <c r="W32" i="3" s="1"/>
  <c r="W35" i="3" s="1"/>
  <c r="X32" i="3" s="1"/>
  <c r="X35" i="3" s="1"/>
  <c r="Y32" i="3"/>
  <c r="Y35" i="3" s="1"/>
  <c r="AA32" i="3" s="1"/>
  <c r="BQ38" i="2" l="1"/>
  <c r="BQ40" i="2" s="1"/>
  <c r="BQ50" i="2" s="1"/>
  <c r="AE32" i="3"/>
  <c r="AE35" i="3" s="1"/>
  <c r="AG32" i="3" s="1"/>
  <c r="AA35" i="3"/>
  <c r="AB32" i="3" s="1"/>
  <c r="AB35" i="3" s="1"/>
  <c r="AC32" i="3" s="1"/>
  <c r="AC35" i="3" s="1"/>
  <c r="AD32" i="3" s="1"/>
  <c r="AD35" i="3" s="1"/>
  <c r="BR38" i="2" l="1"/>
  <c r="BR40" i="2" s="1"/>
  <c r="BR50" i="2" s="1"/>
  <c r="AK32" i="3"/>
  <c r="AK35" i="3" s="1"/>
  <c r="AG35" i="3"/>
  <c r="AH32" i="3" s="1"/>
  <c r="AH35" i="3" s="1"/>
  <c r="AI32" i="3" s="1"/>
  <c r="AI35" i="3" s="1"/>
  <c r="AJ32" i="3" s="1"/>
  <c r="AJ35" i="3" s="1"/>
  <c r="AM32" i="3" s="1"/>
  <c r="BS38" i="2" l="1"/>
  <c r="BS40" i="2" s="1"/>
  <c r="BS50" i="2" s="1"/>
  <c r="BU38" i="2" s="1"/>
  <c r="BU40" i="2" s="1"/>
  <c r="BU50" i="2" s="1"/>
  <c r="AQ32" i="3"/>
  <c r="AQ35" i="3" s="1"/>
  <c r="AM35" i="3"/>
  <c r="AN32" i="3" s="1"/>
  <c r="AN35" i="3" s="1"/>
  <c r="AO32" i="3" s="1"/>
  <c r="AO35" i="3" s="1"/>
  <c r="AP32" i="3" s="1"/>
  <c r="AP35" i="3" s="1"/>
  <c r="AS32" i="3" s="1"/>
  <c r="BW38" i="2" l="1"/>
  <c r="BW40" i="2" s="1"/>
  <c r="BW50" i="2" s="1"/>
  <c r="BX38" i="2" s="1"/>
  <c r="BX40" i="2" s="1"/>
  <c r="AW32" i="3"/>
  <c r="AW35" i="3" s="1"/>
  <c r="AS35" i="3"/>
  <c r="AT32" i="3" s="1"/>
  <c r="AT35" i="3" s="1"/>
  <c r="AU32" i="3" s="1"/>
  <c r="AU35" i="3" s="1"/>
  <c r="AV32" i="3" s="1"/>
  <c r="AV35" i="3" s="1"/>
  <c r="AY32" i="3" s="1"/>
  <c r="AY35" i="3" l="1"/>
  <c r="AZ32" i="3" s="1"/>
  <c r="AZ35" i="3" s="1"/>
  <c r="BA32" i="3" s="1"/>
  <c r="BA35" i="3" s="1"/>
  <c r="BB32" i="3" s="1"/>
  <c r="BB35" i="3" s="1"/>
  <c r="BE32" i="3" s="1"/>
  <c r="BC32" i="3"/>
  <c r="BC35" i="3" s="1"/>
  <c r="BE35" i="3" l="1"/>
  <c r="BF32" i="3" s="1"/>
  <c r="BF35" i="3" s="1"/>
  <c r="BG32" i="3" s="1"/>
  <c r="BG35" i="3" s="1"/>
  <c r="BH32" i="3" s="1"/>
  <c r="BH35" i="3" s="1"/>
  <c r="BK32" i="3" s="1"/>
  <c r="BI32" i="3"/>
  <c r="BI35" i="3" s="1"/>
  <c r="BO32" i="3" l="1"/>
  <c r="BO35" i="3" s="1"/>
  <c r="BK35" i="3"/>
  <c r="BL32" i="3" s="1"/>
  <c r="BL35" i="3" s="1"/>
  <c r="BM32" i="3" s="1"/>
  <c r="BM35" i="3" s="1"/>
  <c r="BN32" i="3" s="1"/>
  <c r="BN35" i="3" s="1"/>
  <c r="BQ32" i="3" s="1"/>
  <c r="BU32" i="3" l="1"/>
  <c r="BU35" i="3" s="1"/>
  <c r="BQ35" i="3"/>
  <c r="BR32" i="3" s="1"/>
  <c r="BR35" i="3" s="1"/>
  <c r="BS32" i="3" s="1"/>
  <c r="BS35" i="3" s="1"/>
  <c r="BT32" i="3" s="1"/>
  <c r="BT35" i="3" s="1"/>
  <c r="BW32" i="3" s="1"/>
  <c r="CA32" i="3" l="1"/>
  <c r="CA35" i="3" s="1"/>
  <c r="BW35" i="3"/>
  <c r="BX32" i="3" s="1"/>
  <c r="BX35" i="3" s="1"/>
  <c r="BY32" i="3" s="1"/>
  <c r="BY35" i="3" s="1"/>
  <c r="BZ32" i="3" s="1"/>
  <c r="BZ35" i="3" s="1"/>
  <c r="CC32" i="3" s="1"/>
  <c r="CG32" i="3" l="1"/>
  <c r="CG35" i="3" s="1"/>
  <c r="CC35" i="3"/>
  <c r="CD32" i="3" s="1"/>
  <c r="CD35" i="3" s="1"/>
  <c r="CE32" i="3" l="1"/>
  <c r="CE35" i="3" s="1"/>
  <c r="CF32" i="3" s="1"/>
  <c r="CF35" i="3" s="1"/>
  <c r="CI32" i="3" s="1"/>
  <c r="CM32" i="3" s="1"/>
  <c r="CM35" i="3" l="1"/>
  <c r="CI35" i="3"/>
  <c r="CJ32" i="3" s="1"/>
  <c r="CJ35" i="3" s="1"/>
  <c r="CK32" i="3" s="1"/>
  <c r="CK35" i="3" s="1"/>
  <c r="CL32" i="3" s="1"/>
  <c r="CL3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<sst xmlns="http://schemas.openxmlformats.org/spreadsheetml/2006/main" count="646" uniqueCount="197">
  <si>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</si>
  <si>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</si>
  <si>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</si>
  <si>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</si>
  <si>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</si>
  <si>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</si>
  <si>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</si>
  <si>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</si>
  <si>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</si>
  <si>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</si>
  <si>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</si>
  <si>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</si>
  <si>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</si>
  <si>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</si>
  <si>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</si>
  <si>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</si>
  <si>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</si>
  <si>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</si>
  <si>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</si>
  <si>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</si>
  <si>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</si>
  <si>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</si>
  <si>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</si>
  <si>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</si>
  <si>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</si>
  <si>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</si>
  <si>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</si>
  <si>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</si>
  <si>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</si>
  <si>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</si>
  <si>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</si>
  <si>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</si>
  <si>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</si>
  <si>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</si>
  <si>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</si>
  <si>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</si>
  <si>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</si>
  <si>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</si>
  <si>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</si>
  <si>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</si>
  <si>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</si>
  <si>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</si>
  <si>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</si>
  <si>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</si>
  <si>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</si>
  <si>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</si>
  <si>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</si>
  <si>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</si>
  <si>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</si>
  <si>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</si>
  <si>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</si>
  <si>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</si>
  <si>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</si>
  <si>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</si>
  <si>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</si>
  <si>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</si>
  <si>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</si>
  <si>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</si>
  <si>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</si>
  <si>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</si>
  <si>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</si>
  <si>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</si>
  <si>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</si>
  <si>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</si>
  <si>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</si>
  <si>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</si>
  <si>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</si>
  <si>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</si>
  <si>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</si>
  <si>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</si>
  <si>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</si>
  <si>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</si>
  <si>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</si>
  <si>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</si>
  <si>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</si>
  <si>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</si>
  <si>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</si>
  <si>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</si>
  <si>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Paid to minority interests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</si>
  <si>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</si>
  <si>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</si>
  <si>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</si>
  <si>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</si>
  <si>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</si>
  <si>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Discontinued operation, NKT Flexibles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</si>
  <si>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</si>
  <si>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</si>
  <si>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</si>
  <si>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</si>
  <si>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</si>
  <si>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</si>
  <si>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</si>
  <si>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</si>
  <si>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</si>
  <si>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</si>
  <si>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</si>
  <si>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</si>
  <si>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</si>
  <si>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</si>
  <si>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</si>
  <si>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</si>
  <si>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</si>
  <si>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</si>
  <si>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</si>
  <si>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</si>
  <si>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</si>
  <si>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</si>
  <si>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</si>
  <si>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</si>
  <si>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</si>
  <si>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</si>
  <si>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</si>
  <si>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</si>
  <si>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</si>
  <si>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</si>
  <si>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</si>
  <si>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</si>
  <si>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</si>
  <si>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</si>
  <si>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</si>
  <si>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</si>
  <si>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</si>
  <si>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</si>
  <si>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</si>
  <si>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</si>
  <si>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</si>
  <si>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</si>
  <si>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</si>
  <si>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</si>
  <si>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</si>
  <si>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Currency adjustments etc.</t>
  </si>
  <si>
    <t>Net interest-bearing items, opening balance</t>
  </si>
  <si>
    <t>Net interest-bearing items, closing balance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</si>
  <si>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</si>
  <si>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</si>
  <si>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</si>
  <si>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</si>
  <si>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</si>
  <si>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</si>
  <si>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</si>
  <si>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</si>
  <si>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</si>
  <si>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</si>
  <si>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</si>
  <si>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</si>
  <si>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</si>
  <si>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</si>
  <si>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</si>
  <si>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</si>
  <si>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</si>
  <si>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</si>
  <si>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</si>
  <si>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</si>
  <si>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</si>
  <si>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</si>
  <si>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</si>
  <si>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</si>
  <si>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</si>
  <si>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</si>
  <si>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</si>
  <si>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</si>
  <si>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</si>
  <si>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</si>
  <si>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</si>
  <si>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</si>
  <si>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</si>
  <si>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</si>
  <si>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</si>
  <si>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</si>
  <si>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</si>
  <si>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</si>
  <si>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</si>
  <si>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</si>
  <si>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</si>
  <si>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</si>
  <si>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</si>
  <si>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</si>
  <si>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</si>
  <si>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</si>
  <si>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</si>
  <si>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</si>
  <si>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Free cash flow - NIBD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</si>
  <si>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</si>
  <si>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</si>
  <si>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</si>
  <si>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</si>
  <si>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</si>
  <si>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</si>
  <si>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</si>
  <si>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Adjustment IFRS 16 1/1 2019</t>
  </si>
  <si>
    <t>Right-of-use assets</t>
  </si>
  <si>
    <t xml:space="preserve">Non-current Lease liabilities </t>
  </si>
  <si>
    <t xml:space="preserve">Current Lease liabilities </t>
  </si>
  <si>
    <t>Depreciation of right-of-use assets</t>
  </si>
  <si>
    <t>Coupon payments on Hybrid capital</t>
  </si>
  <si>
    <t>Coupon payments on hybrid capital</t>
  </si>
  <si>
    <t>Repayment of 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</si>
</sst>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2" fillId="6" borderId="9" xfId="0" applyNumberFormat="1" applyFont="1" applyFill="1" applyBorder="1"/>
    <xf numFmtId="165" fontId="4" fillId="0" borderId="9" xfId="0" applyNumberFormat="1" applyFont="1" applyBorder="1"/>
    <xf numFmtId="165" fontId="2" fillId="0" borderId="9" xfId="0" applyNumberFormat="1" applyFont="1" applyFill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57507" cy="5727976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2019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15" zoomScaleNormal="115" workbookViewId="0">
      <selection activeCell="O1" sqref="O1"/>
    </sheetView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38" t="s">
        <v>161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157"/>
      <c r="N9" s="156"/>
    </row>
    <row r="10" spans="1:14" ht="44.25" x14ac:dyDescent="0.55000000000000004">
      <c r="A10" s="156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157"/>
      <c r="N10" s="156"/>
    </row>
    <row r="11" spans="1:14" ht="44.25" x14ac:dyDescent="0.55000000000000004">
      <c r="A11" s="156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157"/>
      <c r="N11" s="156"/>
    </row>
    <row r="12" spans="1:14" ht="44.25" x14ac:dyDescent="0.55000000000000004">
      <c r="A12" s="156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51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51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51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52"/>
  <sheetViews>
    <sheetView showGridLines="0" zoomScale="90" zoomScaleNormal="90" zoomScaleSheetLayoutView="75" workbookViewId="0">
      <pane xSplit="1" ySplit="3" topLeftCell="BO4" activePane="bottomRight" state="frozen"/>
      <selection activeCell="O4" sqref="O4"/>
      <selection pane="topRight" activeCell="O4" sqref="O4"/>
      <selection pane="bottomLeft" activeCell="O4" sqref="O4"/>
      <selection pane="bottomRight" activeCell="CL25" sqref="CL25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16384" width="9.140625" style="2"/>
  </cols>
  <sheetData>
    <row r="1" spans="1:92" x14ac:dyDescent="0.2">
      <c r="C1" s="241"/>
      <c r="D1" s="241"/>
      <c r="E1" s="241"/>
      <c r="F1" s="241"/>
      <c r="G1" s="241"/>
      <c r="I1" s="241"/>
      <c r="J1" s="241"/>
      <c r="K1" s="241"/>
      <c r="L1" s="241"/>
      <c r="M1" s="241"/>
      <c r="O1" s="241"/>
      <c r="P1" s="241"/>
      <c r="Q1" s="241"/>
      <c r="R1" s="241"/>
      <c r="S1" s="241"/>
      <c r="U1" s="241"/>
      <c r="V1" s="241"/>
      <c r="W1" s="241"/>
      <c r="X1" s="241"/>
      <c r="Y1" s="241"/>
      <c r="AA1" s="241"/>
      <c r="AB1" s="241"/>
      <c r="AC1" s="241"/>
      <c r="AD1" s="241"/>
      <c r="AE1" s="241"/>
      <c r="AG1" s="241"/>
      <c r="AH1" s="241"/>
      <c r="AI1" s="241"/>
      <c r="AJ1" s="241"/>
      <c r="AK1" s="241"/>
      <c r="AM1" s="241"/>
      <c r="AN1" s="241"/>
      <c r="AO1" s="241"/>
      <c r="AP1" s="241"/>
      <c r="AQ1" s="241"/>
      <c r="AS1" s="241"/>
      <c r="AT1" s="241"/>
      <c r="AU1" s="241"/>
      <c r="AV1" s="241"/>
      <c r="AW1" s="241"/>
      <c r="AY1" s="241"/>
      <c r="AZ1" s="241"/>
      <c r="BA1" s="241"/>
      <c r="BB1" s="241"/>
      <c r="BC1" s="241"/>
      <c r="BE1" s="241"/>
      <c r="BF1" s="241"/>
      <c r="BG1" s="241"/>
      <c r="BH1" s="241"/>
      <c r="BI1" s="241"/>
      <c r="BK1" s="241"/>
      <c r="BL1" s="241"/>
      <c r="BM1" s="241"/>
      <c r="BN1" s="241"/>
      <c r="BO1" s="241"/>
      <c r="BQ1" s="241"/>
      <c r="BR1" s="241"/>
      <c r="BS1" s="241"/>
      <c r="BT1" s="241"/>
      <c r="BU1" s="241"/>
      <c r="BW1" s="242" t="s">
        <v>174</v>
      </c>
      <c r="BX1" s="242"/>
      <c r="BY1" s="242"/>
      <c r="BZ1" s="242"/>
      <c r="CA1" s="242"/>
      <c r="CC1" s="242"/>
      <c r="CD1" s="242"/>
      <c r="CE1" s="242"/>
      <c r="CF1" s="242"/>
      <c r="CG1" s="242"/>
      <c r="CI1" s="242"/>
      <c r="CJ1" s="242"/>
      <c r="CK1" s="242"/>
      <c r="CL1" s="242"/>
      <c r="CM1" s="242"/>
    </row>
    <row r="2" spans="1:92" x14ac:dyDescent="0.2">
      <c r="A2" s="1" t="s">
        <v>162</v>
      </c>
      <c r="C2" s="240">
        <v>2005</v>
      </c>
      <c r="D2" s="240"/>
      <c r="E2" s="240"/>
      <c r="F2" s="240"/>
      <c r="G2" s="240"/>
      <c r="I2" s="240">
        <v>2006</v>
      </c>
      <c r="J2" s="240"/>
      <c r="K2" s="240"/>
      <c r="L2" s="240"/>
      <c r="M2" s="240"/>
      <c r="O2" s="240">
        <v>2007</v>
      </c>
      <c r="P2" s="240"/>
      <c r="Q2" s="240"/>
      <c r="R2" s="240"/>
      <c r="S2" s="240"/>
      <c r="U2" s="240">
        <v>2008</v>
      </c>
      <c r="V2" s="240"/>
      <c r="W2" s="240"/>
      <c r="X2" s="240"/>
      <c r="Y2" s="240"/>
      <c r="AA2" s="240">
        <v>2009</v>
      </c>
      <c r="AB2" s="240"/>
      <c r="AC2" s="240"/>
      <c r="AD2" s="240"/>
      <c r="AE2" s="240"/>
      <c r="AG2" s="240">
        <v>2010</v>
      </c>
      <c r="AH2" s="240"/>
      <c r="AI2" s="240"/>
      <c r="AJ2" s="240"/>
      <c r="AK2" s="240"/>
      <c r="AM2" s="240">
        <v>2011</v>
      </c>
      <c r="AN2" s="240"/>
      <c r="AO2" s="240"/>
      <c r="AP2" s="240"/>
      <c r="AQ2" s="240"/>
      <c r="AS2" s="240">
        <v>2012</v>
      </c>
      <c r="AT2" s="240"/>
      <c r="AU2" s="240"/>
      <c r="AV2" s="240"/>
      <c r="AW2" s="240"/>
      <c r="AY2" s="240">
        <v>2013</v>
      </c>
      <c r="AZ2" s="240"/>
      <c r="BA2" s="240"/>
      <c r="BB2" s="240"/>
      <c r="BC2" s="240"/>
      <c r="BE2" s="240">
        <v>2014</v>
      </c>
      <c r="BF2" s="240"/>
      <c r="BG2" s="240"/>
      <c r="BH2" s="240"/>
      <c r="BI2" s="240"/>
      <c r="BK2" s="240">
        <v>2015</v>
      </c>
      <c r="BL2" s="240"/>
      <c r="BM2" s="240"/>
      <c r="BN2" s="240"/>
      <c r="BO2" s="240"/>
      <c r="BQ2" s="240">
        <v>2016</v>
      </c>
      <c r="BR2" s="240"/>
      <c r="BS2" s="240"/>
      <c r="BT2" s="240"/>
      <c r="BU2" s="240"/>
      <c r="BW2" s="240">
        <v>2017</v>
      </c>
      <c r="BX2" s="240"/>
      <c r="BY2" s="240"/>
      <c r="BZ2" s="240"/>
      <c r="CA2" s="240"/>
      <c r="CC2" s="240">
        <v>2018</v>
      </c>
      <c r="CD2" s="240"/>
      <c r="CE2" s="240"/>
      <c r="CF2" s="240"/>
      <c r="CG2" s="240"/>
      <c r="CI2" s="240">
        <v>2019</v>
      </c>
      <c r="CJ2" s="240"/>
      <c r="CK2" s="240"/>
      <c r="CL2" s="240"/>
      <c r="CM2" s="240"/>
    </row>
    <row r="3" spans="1:92" s="170" customFormat="1" x14ac:dyDescent="0.2">
      <c r="A3" s="169" t="s">
        <v>108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92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</row>
    <row r="5" spans="1:92" s="42" customFormat="1" ht="18.75" customHeight="1" x14ac:dyDescent="0.2">
      <c r="A5" s="42" t="s">
        <v>133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('Segment Data'!J13)/7.45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+'Segment Data'!BN13</f>
        <v>541.00000000000011</v>
      </c>
      <c r="BO5" s="74">
        <f>SUM(BK5:BN5)</f>
        <v>2223.55033557047</v>
      </c>
      <c r="BP5" s="73"/>
      <c r="BQ5" s="73">
        <f>+'Segment Data'!BQ13</f>
        <v>485.59999999999997</v>
      </c>
      <c r="BR5" s="73">
        <v>553.20000000000005</v>
      </c>
      <c r="BS5" s="73">
        <v>519</v>
      </c>
      <c r="BT5" s="73">
        <f>+'Segment Data'!BT13</f>
        <v>546.79999999999995</v>
      </c>
      <c r="BU5" s="74">
        <f>SUM(BQ5:BT5)</f>
        <v>2104.6</v>
      </c>
      <c r="BW5" s="73">
        <f>+'Segment Data'!BW13</f>
        <v>550.29999999999995</v>
      </c>
      <c r="BX5" s="73">
        <f>+'Segment Data'!BX13</f>
        <v>681.5</v>
      </c>
      <c r="BY5" s="73">
        <f>+'Segment Data'!BY13</f>
        <v>660.5</v>
      </c>
      <c r="BZ5" s="73">
        <f>+'Segment Data'!BZ13</f>
        <v>388.7</v>
      </c>
      <c r="CA5" s="74">
        <f>SUM(BW5:BZ5)</f>
        <v>2281</v>
      </c>
      <c r="CC5" s="73">
        <f>+'Segment Data'!CC13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+'Segment Data'!CI13</f>
        <v>294.3</v>
      </c>
      <c r="CJ5" s="73">
        <v>355.4</v>
      </c>
      <c r="CK5" s="73">
        <f>+'Segment Data'!CK13</f>
        <v>325.3</v>
      </c>
      <c r="CL5" s="73">
        <f>+'Segment Data'!CL13</f>
        <v>367.4</v>
      </c>
      <c r="CM5" s="74">
        <f>SUM(CI5:CL5)</f>
        <v>1342.4</v>
      </c>
    </row>
    <row r="6" spans="1:92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</row>
    <row r="7" spans="1:92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+'Segment Data'!BQ38</f>
        <v>35.900999999999996</v>
      </c>
      <c r="BR7" s="76">
        <v>50.8</v>
      </c>
      <c r="BS7" s="76">
        <v>6.2</v>
      </c>
      <c r="BT7" s="76">
        <f>+'Segment Data'!BT38</f>
        <v>31.799999999999997</v>
      </c>
      <c r="BU7" s="75">
        <f>SUM(BQ7:BT7)</f>
        <v>124.70099999999999</v>
      </c>
      <c r="BV7" s="76"/>
      <c r="BW7" s="76">
        <f>+'Segment Data'!BW38</f>
        <v>32</v>
      </c>
      <c r="BX7" s="76">
        <f>+'Segment Data'!BX38</f>
        <v>71.7</v>
      </c>
      <c r="BY7" s="76">
        <f>+'Segment Data'!BY38</f>
        <v>54.6</v>
      </c>
      <c r="BZ7" s="76">
        <f>+'Segment Data'!BZ38</f>
        <v>21.800000000000008</v>
      </c>
      <c r="CA7" s="75">
        <f>SUM(BW7:BZ7)</f>
        <v>180.10000000000002</v>
      </c>
      <c r="CC7" s="76">
        <f>+'Segment Data'!CC38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+'Segment Data'!CI38</f>
        <v>0.19999999999999996</v>
      </c>
      <c r="CJ7" s="76">
        <f>+'Segment Data'!CJ38</f>
        <v>9.4</v>
      </c>
      <c r="CK7" s="76">
        <f>+'Segment Data'!CK38</f>
        <v>5.9</v>
      </c>
      <c r="CL7" s="76">
        <f>+'Segment Data'!CL38</f>
        <v>2.2000000000000002</v>
      </c>
      <c r="CM7" s="75">
        <f>SUM(CI7:CL7)</f>
        <v>17.7</v>
      </c>
    </row>
    <row r="8" spans="1:92" x14ac:dyDescent="0.2">
      <c r="A8" s="2" t="s">
        <v>48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v>-15.9</v>
      </c>
      <c r="CJ8" s="31">
        <v>-16</v>
      </c>
      <c r="CK8" s="31">
        <v>-16.399999999999999</v>
      </c>
      <c r="CL8" s="85">
        <v>-21.5</v>
      </c>
      <c r="CM8" s="75">
        <f>SUM(CI8:CL8)</f>
        <v>-69.8</v>
      </c>
      <c r="CN8" s="201"/>
    </row>
    <row r="9" spans="1:92" x14ac:dyDescent="0.2">
      <c r="A9" s="2" t="s">
        <v>92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>
        <v>-9.6</v>
      </c>
      <c r="CM9" s="75">
        <f>SUM(CI9:CL9)</f>
        <v>-25.6</v>
      </c>
      <c r="CN9" s="201"/>
    </row>
    <row r="10" spans="1:92" x14ac:dyDescent="0.2">
      <c r="A10" s="2" t="s">
        <v>193</v>
      </c>
      <c r="C10" s="31"/>
      <c r="D10" s="31"/>
      <c r="E10" s="31"/>
      <c r="F10" s="31"/>
      <c r="G10" s="75"/>
      <c r="H10" s="31"/>
      <c r="I10" s="31"/>
      <c r="J10" s="31"/>
      <c r="K10" s="31"/>
      <c r="L10" s="31"/>
      <c r="M10" s="75"/>
      <c r="N10" s="31"/>
      <c r="O10" s="31"/>
      <c r="P10" s="31"/>
      <c r="Q10" s="31"/>
      <c r="R10" s="31"/>
      <c r="S10" s="75"/>
      <c r="T10" s="31"/>
      <c r="U10" s="31"/>
      <c r="V10" s="31"/>
      <c r="W10" s="31"/>
      <c r="X10" s="31"/>
      <c r="Y10" s="75"/>
      <c r="Z10" s="31"/>
      <c r="AA10" s="31"/>
      <c r="AB10" s="31"/>
      <c r="AC10" s="31"/>
      <c r="AD10" s="31"/>
      <c r="AE10" s="75"/>
      <c r="AF10" s="31"/>
      <c r="AG10" s="31"/>
      <c r="AH10" s="31"/>
      <c r="AI10" s="31"/>
      <c r="AJ10" s="31"/>
      <c r="AK10" s="75"/>
      <c r="AL10" s="31"/>
      <c r="AM10" s="31"/>
      <c r="AN10" s="31"/>
      <c r="AO10" s="31"/>
      <c r="AP10" s="85"/>
      <c r="AQ10" s="75"/>
      <c r="AR10" s="31"/>
      <c r="AS10" s="31"/>
      <c r="AT10" s="31"/>
      <c r="AU10" s="31"/>
      <c r="AV10" s="85"/>
      <c r="AW10" s="75"/>
      <c r="AX10" s="31"/>
      <c r="AY10" s="31"/>
      <c r="AZ10" s="31"/>
      <c r="BA10" s="31"/>
      <c r="BB10" s="85"/>
      <c r="BC10" s="75"/>
      <c r="BD10" s="31"/>
      <c r="BE10" s="31"/>
      <c r="BF10" s="31"/>
      <c r="BG10" s="31"/>
      <c r="BH10" s="85"/>
      <c r="BI10" s="75"/>
      <c r="BJ10" s="31"/>
      <c r="BK10" s="31"/>
      <c r="BL10" s="31"/>
      <c r="BM10" s="31"/>
      <c r="BN10" s="85"/>
      <c r="BO10" s="75"/>
      <c r="BP10" s="31"/>
      <c r="BQ10" s="31"/>
      <c r="BR10" s="31"/>
      <c r="BS10" s="31"/>
      <c r="BT10" s="85"/>
      <c r="BU10" s="75"/>
      <c r="BV10" s="31"/>
      <c r="BW10" s="31"/>
      <c r="BX10" s="31"/>
      <c r="BY10" s="31"/>
      <c r="BZ10" s="85"/>
      <c r="CA10" s="75"/>
      <c r="CC10" s="31"/>
      <c r="CD10" s="31"/>
      <c r="CE10" s="31"/>
      <c r="CF10" s="85"/>
      <c r="CG10" s="75"/>
      <c r="CI10" s="31">
        <v>-1.4</v>
      </c>
      <c r="CJ10" s="31">
        <v>-1.4</v>
      </c>
      <c r="CK10" s="31">
        <v>-1.3</v>
      </c>
      <c r="CL10" s="85">
        <v>-1.2</v>
      </c>
      <c r="CM10" s="75">
        <f>SUM(CI10:CL10)</f>
        <v>-5.3</v>
      </c>
    </row>
    <row r="11" spans="1:92" s="47" customFormat="1" x14ac:dyDescent="0.2">
      <c r="A11" s="47" t="s">
        <v>97</v>
      </c>
      <c r="C11" s="77">
        <v>0</v>
      </c>
      <c r="D11" s="77"/>
      <c r="E11" s="77"/>
      <c r="F11" s="77"/>
      <c r="G11" s="78">
        <f>SUM(C11:F11)</f>
        <v>0</v>
      </c>
      <c r="H11" s="77"/>
      <c r="I11" s="77"/>
      <c r="J11" s="77"/>
      <c r="K11" s="77"/>
      <c r="L11" s="77"/>
      <c r="M11" s="78">
        <f>SUM(I11:L11)</f>
        <v>0</v>
      </c>
      <c r="N11" s="77"/>
      <c r="O11" s="77"/>
      <c r="P11" s="77"/>
      <c r="Q11" s="77"/>
      <c r="R11" s="77"/>
      <c r="S11" s="78">
        <f>SUM(O11:R11)</f>
        <v>0</v>
      </c>
      <c r="T11" s="77"/>
      <c r="U11" s="77">
        <v>0</v>
      </c>
      <c r="V11" s="77">
        <v>0</v>
      </c>
      <c r="W11" s="77">
        <v>0</v>
      </c>
      <c r="X11" s="77">
        <v>-7.1140939597315436</v>
      </c>
      <c r="Y11" s="78">
        <f>SUM(U11:X11)</f>
        <v>-7.1140939597315436</v>
      </c>
      <c r="Z11" s="77"/>
      <c r="AA11" s="77">
        <v>0</v>
      </c>
      <c r="AB11" s="77">
        <v>0</v>
      </c>
      <c r="AC11" s="77">
        <v>0</v>
      </c>
      <c r="AD11" s="77">
        <v>0</v>
      </c>
      <c r="AE11" s="78">
        <f>SUM(AA11:AD11)</f>
        <v>0</v>
      </c>
      <c r="AF11" s="77"/>
      <c r="AG11" s="77">
        <v>0</v>
      </c>
      <c r="AH11" s="77">
        <v>0</v>
      </c>
      <c r="AI11" s="77">
        <v>0</v>
      </c>
      <c r="AJ11" s="77">
        <v>0</v>
      </c>
      <c r="AK11" s="78">
        <f>SUM(AG11:AJ11)</f>
        <v>0</v>
      </c>
      <c r="AL11" s="77"/>
      <c r="AM11" s="77">
        <v>0</v>
      </c>
      <c r="AN11" s="77">
        <v>0</v>
      </c>
      <c r="AO11" s="77">
        <v>0</v>
      </c>
      <c r="AP11" s="86">
        <v>-9.1275167785234892</v>
      </c>
      <c r="AQ11" s="78">
        <f>SUM(AM11:AP11)</f>
        <v>-9.1275167785234892</v>
      </c>
      <c r="AR11" s="77"/>
      <c r="AS11" s="77">
        <v>0</v>
      </c>
      <c r="AT11" s="77">
        <v>0</v>
      </c>
      <c r="AU11" s="77">
        <v>0</v>
      </c>
      <c r="AV11" s="86">
        <v>-0.80536912751677847</v>
      </c>
      <c r="AW11" s="78">
        <f>SUM(AS11:AV11)</f>
        <v>-0.80536912751677847</v>
      </c>
      <c r="AX11" s="77"/>
      <c r="AY11" s="77">
        <v>0</v>
      </c>
      <c r="AZ11" s="77">
        <v>0</v>
      </c>
      <c r="BA11" s="77">
        <v>0</v>
      </c>
      <c r="BB11" s="86">
        <v>-8.8590604026845643</v>
      </c>
      <c r="BC11" s="78">
        <f>SUM(AY11:BB11)</f>
        <v>-8.8590604026845643</v>
      </c>
      <c r="BD11" s="77"/>
      <c r="BE11" s="77">
        <v>0</v>
      </c>
      <c r="BF11" s="77">
        <v>0</v>
      </c>
      <c r="BG11" s="77">
        <v>0</v>
      </c>
      <c r="BH11" s="86">
        <v>-2.6845637583892619</v>
      </c>
      <c r="BI11" s="78">
        <f>SUM(BE11:BH11)</f>
        <v>-2.6845637583892619</v>
      </c>
      <c r="BJ11" s="77"/>
      <c r="BK11" s="77">
        <v>0</v>
      </c>
      <c r="BL11" s="77">
        <v>-37.181208053691272</v>
      </c>
      <c r="BM11" s="77">
        <v>0.93959731543624159</v>
      </c>
      <c r="BN11" s="86">
        <v>-0.8</v>
      </c>
      <c r="BO11" s="78">
        <f>SUM(BK11:BN11)</f>
        <v>-37.041610738255031</v>
      </c>
      <c r="BP11" s="77"/>
      <c r="BQ11" s="77">
        <v>0</v>
      </c>
      <c r="BR11" s="77">
        <v>0</v>
      </c>
      <c r="BS11" s="77">
        <v>-6.7</v>
      </c>
      <c r="BT11" s="86">
        <v>3.4</v>
      </c>
      <c r="BU11" s="78">
        <f>SUM(BQ11:BT11)</f>
        <v>-3.3000000000000003</v>
      </c>
      <c r="BV11" s="77"/>
      <c r="BW11" s="77">
        <v>0</v>
      </c>
      <c r="BX11" s="77">
        <v>0</v>
      </c>
      <c r="BY11" s="77">
        <v>0</v>
      </c>
      <c r="BZ11" s="86">
        <v>-0.9</v>
      </c>
      <c r="CA11" s="78">
        <f>SUM(BW11:BZ11)</f>
        <v>-0.9</v>
      </c>
      <c r="CC11" s="77">
        <v>0</v>
      </c>
      <c r="CD11" s="77">
        <v>0</v>
      </c>
      <c r="CE11" s="77">
        <v>0</v>
      </c>
      <c r="CF11" s="86">
        <v>0</v>
      </c>
      <c r="CG11" s="78">
        <f>SUM(CC11:CF11)</f>
        <v>0</v>
      </c>
      <c r="CI11" s="77">
        <v>0</v>
      </c>
      <c r="CJ11" s="77">
        <v>0</v>
      </c>
      <c r="CK11" s="77">
        <v>0</v>
      </c>
      <c r="CL11" s="86">
        <v>0</v>
      </c>
      <c r="CM11" s="78">
        <f>SUM(CI11:CL11)</f>
        <v>0</v>
      </c>
    </row>
    <row r="12" spans="1:92" s="5" customFormat="1" ht="18.75" customHeight="1" x14ac:dyDescent="0.2">
      <c r="A12" s="5" t="s">
        <v>3</v>
      </c>
      <c r="C12" s="76">
        <f>SUM(C7:C11)</f>
        <v>9.932885906040271</v>
      </c>
      <c r="D12" s="76">
        <f>SUM(D7:D11)</f>
        <v>16.778523489932887</v>
      </c>
      <c r="E12" s="76">
        <f>SUM(E7:E11)</f>
        <v>18.657718120805367</v>
      </c>
      <c r="F12" s="76">
        <f>SUM(F7:F11)</f>
        <v>20.536912751677853</v>
      </c>
      <c r="G12" s="75">
        <f>SUM(G7:G11)</f>
        <v>65.906040268456366</v>
      </c>
      <c r="H12" s="76"/>
      <c r="I12" s="76">
        <f>SUM(I7:I11)</f>
        <v>16.644295302013422</v>
      </c>
      <c r="J12" s="76">
        <f>SUM(J7:J11)</f>
        <v>43.489932885906036</v>
      </c>
      <c r="K12" s="76">
        <f>SUM(K7:K11)</f>
        <v>27.114093959731544</v>
      </c>
      <c r="L12" s="76">
        <f>SUM(L7:L11)</f>
        <v>22.550335570469798</v>
      </c>
      <c r="M12" s="75">
        <f>SUM(M7:M11)</f>
        <v>109.79865771812081</v>
      </c>
      <c r="N12" s="76"/>
      <c r="O12" s="76">
        <f>SUM(O7:O11)</f>
        <v>25.637583892617453</v>
      </c>
      <c r="P12" s="76">
        <f>SUM(P7:P11)</f>
        <v>44.429530201342281</v>
      </c>
      <c r="Q12" s="76">
        <f>SUM(Q7:Q11)</f>
        <v>33.288590604026844</v>
      </c>
      <c r="R12" s="76">
        <f>SUM(R7:R11)</f>
        <v>48.724832214765101</v>
      </c>
      <c r="S12" s="75">
        <f>SUM(S7:S11)</f>
        <v>152.08053691275168</v>
      </c>
      <c r="T12" s="76"/>
      <c r="U12" s="87">
        <f>SUM(U7:U11)</f>
        <v>30.33557046979865</v>
      </c>
      <c r="V12" s="87">
        <f>SUM(V7:V11)</f>
        <v>50.604026845637584</v>
      </c>
      <c r="W12" s="87">
        <f>SUM(W7:W11)</f>
        <v>32.348993288590606</v>
      </c>
      <c r="X12" s="87">
        <f>SUM(X7:X11)</f>
        <v>-3.4899328859060388</v>
      </c>
      <c r="Y12" s="88">
        <f>SUM(Y7:Y11)</f>
        <v>109.79865771812081</v>
      </c>
      <c r="Z12" s="76"/>
      <c r="AA12" s="87">
        <f>SUM(AA7:AA11)</f>
        <v>4.8322147651006704</v>
      </c>
      <c r="AB12" s="87">
        <f>SUM(AB7:AB11)</f>
        <v>19.597315436241612</v>
      </c>
      <c r="AC12" s="87">
        <f>SUM(AC7:AC11)</f>
        <v>17.583892617449663</v>
      </c>
      <c r="AD12" s="87">
        <f>SUM(AD7:AD11)</f>
        <v>13.825503355704697</v>
      </c>
      <c r="AE12" s="88">
        <f>SUM(AE7:AE11)</f>
        <v>55.838926174496649</v>
      </c>
      <c r="AF12" s="76"/>
      <c r="AG12" s="87">
        <f>SUM(AG7:AG11)</f>
        <v>16.107382550335569</v>
      </c>
      <c r="AH12" s="87">
        <f>SUM(AH7:AH11)</f>
        <v>21.476510067114095</v>
      </c>
      <c r="AI12" s="87">
        <f>SUM(AI7:AI11)</f>
        <v>19.865771812080538</v>
      </c>
      <c r="AJ12" s="87">
        <f>SUM(AJ7:AJ11)</f>
        <v>6.9798657718120785</v>
      </c>
      <c r="AK12" s="88">
        <f>SUM(AK7:AK11)</f>
        <v>64.429530201342274</v>
      </c>
      <c r="AL12" s="76"/>
      <c r="AM12" s="87">
        <f>SUM(AM7:AM11)</f>
        <v>13.020134228187921</v>
      </c>
      <c r="AN12" s="87">
        <f>SUM(AN7:AN11)</f>
        <v>12.885906040268457</v>
      </c>
      <c r="AO12" s="87">
        <f>SUM(AO7:AO11)</f>
        <v>24.832214765100669</v>
      </c>
      <c r="AP12" s="87">
        <f>SUM(AP7:AP11)</f>
        <v>8.9932885906040276</v>
      </c>
      <c r="AQ12" s="88">
        <f>SUM(AQ7:AQ11)</f>
        <v>59.731543624161091</v>
      </c>
      <c r="AR12" s="76"/>
      <c r="AS12" s="87">
        <f>SUM(AS7:AS11)</f>
        <v>13.825503355704697</v>
      </c>
      <c r="AT12" s="87">
        <f>SUM(AT7:AT11)</f>
        <v>13.288590604026844</v>
      </c>
      <c r="AU12" s="87">
        <f>SUM(AU7:AU11)</f>
        <v>13.691275167785236</v>
      </c>
      <c r="AV12" s="87">
        <f>SUM(AV7:AV11)</f>
        <v>22.68456375838926</v>
      </c>
      <c r="AW12" s="88">
        <f>SUM(AW7:AW11)</f>
        <v>63.48993288590605</v>
      </c>
      <c r="AX12" s="76"/>
      <c r="AY12" s="87">
        <f>SUM(AY7:AY11)</f>
        <v>11.812080536912752</v>
      </c>
      <c r="AZ12" s="87">
        <f>SUM(AZ7:AZ11)</f>
        <v>20.000000000000004</v>
      </c>
      <c r="BA12" s="87">
        <f>SUM(BA7:BA11)</f>
        <v>14.093959731543626</v>
      </c>
      <c r="BB12" s="87">
        <f>SUM(BB7:BB11)</f>
        <v>22.281879194630868</v>
      </c>
      <c r="BC12" s="88">
        <f>SUM(BC7:BC11)</f>
        <v>68.187919463087241</v>
      </c>
      <c r="BD12" s="76"/>
      <c r="BE12" s="87">
        <f>SUM(BE7:BE11)</f>
        <v>21.610738255033556</v>
      </c>
      <c r="BF12" s="87">
        <f>SUM(BF7:BF11)</f>
        <v>11.543624161073827</v>
      </c>
      <c r="BG12" s="87">
        <f>SUM(BG7:BG11)</f>
        <v>13.020134228187919</v>
      </c>
      <c r="BH12" s="87">
        <f>SUM(BH7:BH11)</f>
        <v>21.610738255033556</v>
      </c>
      <c r="BI12" s="88">
        <f>SUM(BI7:BI11)</f>
        <v>67.785234899328842</v>
      </c>
      <c r="BJ12" s="76"/>
      <c r="BK12" s="87">
        <f>SUM(BK7:BK11)</f>
        <v>14.496644295302019</v>
      </c>
      <c r="BL12" s="87">
        <f>SUM(BL7:BL11)</f>
        <v>-1.8791946308724832</v>
      </c>
      <c r="BM12" s="87">
        <f>SUM(BM7:BM11)</f>
        <v>13.557046979865769</v>
      </c>
      <c r="BN12" s="87">
        <f>SUM(BN7:BN11)</f>
        <v>11.899999999999995</v>
      </c>
      <c r="BO12" s="88">
        <f>SUM(BO7:BO11)</f>
        <v>38.074496644295323</v>
      </c>
      <c r="BP12" s="76"/>
      <c r="BQ12" s="87">
        <f>SUM(BQ7:BQ11)</f>
        <v>16.200999999999997</v>
      </c>
      <c r="BR12" s="87">
        <f>SUM(BR7:BR11)</f>
        <v>30.299999999999997</v>
      </c>
      <c r="BS12" s="87">
        <f>SUM(BS7:BS11)</f>
        <v>-20.799999999999997</v>
      </c>
      <c r="BT12" s="87">
        <f>SUM(BT7:BT11)</f>
        <v>14.599999999999996</v>
      </c>
      <c r="BU12" s="88">
        <f>SUM(BU7:BU11)</f>
        <v>40.300999999999988</v>
      </c>
      <c r="BV12" s="76"/>
      <c r="BW12" s="87">
        <f>SUM(BW7:BW11)</f>
        <v>20.3</v>
      </c>
      <c r="BX12" s="87">
        <f>SUM(BX7:BX11)</f>
        <v>52.2</v>
      </c>
      <c r="BY12" s="87">
        <f>SUM(BY7:BY11)</f>
        <v>30.600000000000005</v>
      </c>
      <c r="BZ12" s="87">
        <f>SUM(BZ7:BZ11)</f>
        <v>-2.5999999999999903</v>
      </c>
      <c r="CA12" s="88">
        <f>SUM(CA7:CA11)</f>
        <v>100.50000000000003</v>
      </c>
      <c r="CC12" s="87">
        <f>SUM(CC7:CC11)</f>
        <v>-5.5999999999999979</v>
      </c>
      <c r="CD12" s="87">
        <f>SUM(CD7:CD11)</f>
        <v>4.3000000000000016</v>
      </c>
      <c r="CE12" s="87">
        <f>SUM(CE7:CE11)</f>
        <v>-2.9999999999999991</v>
      </c>
      <c r="CF12" s="87">
        <f>SUM(CF7:CF11)</f>
        <v>-33.20000000000001</v>
      </c>
      <c r="CG12" s="88">
        <f>SUM(CG7:CG11)</f>
        <v>-37.500000000000007</v>
      </c>
      <c r="CI12" s="87">
        <f>SUM(CI7:CI11)</f>
        <v>-22.6</v>
      </c>
      <c r="CJ12" s="87">
        <f>SUM(CJ7:CJ11)</f>
        <v>-13.299999999999999</v>
      </c>
      <c r="CK12" s="87">
        <f>SUM(CK7:CK11)</f>
        <v>-17</v>
      </c>
      <c r="CL12" s="87">
        <f>SUM(CL7:CL11)</f>
        <v>-30.099999999999998</v>
      </c>
      <c r="CM12" s="88">
        <f>SUM(CM7:CM11)</f>
        <v>-82.999999999999986</v>
      </c>
    </row>
    <row r="13" spans="1:92" hidden="1" x14ac:dyDescent="0.2">
      <c r="A13" s="2" t="s">
        <v>47</v>
      </c>
      <c r="C13" s="31"/>
      <c r="D13" s="31"/>
      <c r="E13" s="31"/>
      <c r="F13" s="31"/>
      <c r="G13" s="75">
        <f>SUM(C13:F13)</f>
        <v>0</v>
      </c>
      <c r="H13" s="31"/>
      <c r="I13" s="31"/>
      <c r="J13" s="31"/>
      <c r="K13" s="31"/>
      <c r="L13" s="31"/>
      <c r="M13" s="75">
        <f>SUM(I13:L13)</f>
        <v>0</v>
      </c>
      <c r="N13" s="31"/>
      <c r="O13" s="31"/>
      <c r="P13" s="31"/>
      <c r="Q13" s="31"/>
      <c r="R13" s="31"/>
      <c r="S13" s="75">
        <f>SUM(O13:R13)</f>
        <v>0</v>
      </c>
      <c r="T13" s="31"/>
      <c r="U13" s="31"/>
      <c r="V13" s="31"/>
      <c r="W13" s="31"/>
      <c r="X13" s="31"/>
      <c r="Y13" s="75">
        <f>SUM(U13:X13)</f>
        <v>0</v>
      </c>
      <c r="Z13" s="31"/>
      <c r="AA13" s="31"/>
      <c r="AB13" s="31"/>
      <c r="AC13" s="31"/>
      <c r="AD13" s="31"/>
      <c r="AE13" s="75">
        <f>SUM(AA13:AD13)</f>
        <v>0</v>
      </c>
      <c r="AF13" s="31"/>
      <c r="AG13" s="31"/>
      <c r="AH13" s="31"/>
      <c r="AI13" s="31"/>
      <c r="AJ13" s="31"/>
      <c r="AK13" s="75">
        <f>SUM(AG13:AJ13)</f>
        <v>0</v>
      </c>
      <c r="AL13" s="31"/>
      <c r="AM13" s="31"/>
      <c r="AN13" s="31"/>
      <c r="AO13" s="31"/>
      <c r="AP13" s="31"/>
      <c r="AQ13" s="75">
        <f>SUM(AM13:AP13)</f>
        <v>0</v>
      </c>
      <c r="AR13" s="31"/>
      <c r="AS13" s="31"/>
      <c r="AT13" s="31"/>
      <c r="AU13" s="31"/>
      <c r="AV13" s="31"/>
      <c r="AW13" s="75">
        <f>SUM(AS13:AV13)</f>
        <v>0</v>
      </c>
      <c r="AX13" s="31"/>
      <c r="AY13" s="31"/>
      <c r="AZ13" s="31"/>
      <c r="BA13" s="31"/>
      <c r="BB13" s="31"/>
      <c r="BC13" s="75">
        <f>SUM(AY13:BB13)</f>
        <v>0</v>
      </c>
      <c r="BD13" s="31"/>
      <c r="BE13" s="31"/>
      <c r="BF13" s="31"/>
      <c r="BG13" s="31"/>
      <c r="BH13" s="31"/>
      <c r="BI13" s="75">
        <f>SUM(BE13:BH13)</f>
        <v>0</v>
      </c>
      <c r="BJ13" s="31"/>
      <c r="BK13" s="31"/>
      <c r="BL13" s="31"/>
      <c r="BM13" s="31"/>
      <c r="BN13" s="31"/>
      <c r="BO13" s="75">
        <f>SUM(BK13:BN13)</f>
        <v>0</v>
      </c>
      <c r="BP13" s="31"/>
      <c r="BQ13" s="31"/>
      <c r="BR13" s="31"/>
      <c r="BS13" s="31"/>
      <c r="BT13" s="31"/>
      <c r="BU13" s="75">
        <f>SUM(BQ13:BT13)</f>
        <v>0</v>
      </c>
      <c r="BV13" s="31"/>
      <c r="BW13" s="31"/>
      <c r="BX13" s="31"/>
      <c r="BY13" s="31"/>
      <c r="BZ13" s="31"/>
      <c r="CA13" s="75">
        <f>SUM(BW13:BZ13)</f>
        <v>0</v>
      </c>
      <c r="CC13" s="31"/>
      <c r="CD13" s="31"/>
      <c r="CE13" s="31"/>
      <c r="CF13" s="31"/>
      <c r="CG13" s="75">
        <f>SUM(CC13:CF13)</f>
        <v>0</v>
      </c>
      <c r="CI13" s="31"/>
      <c r="CJ13" s="31"/>
      <c r="CK13" s="31"/>
      <c r="CL13" s="31"/>
      <c r="CM13" s="75">
        <f>SUM(CI13:CL13)</f>
        <v>0</v>
      </c>
    </row>
    <row r="14" spans="1:92" s="47" customFormat="1" x14ac:dyDescent="0.2">
      <c r="A14" s="47" t="s">
        <v>98</v>
      </c>
      <c r="C14" s="77"/>
      <c r="D14" s="77"/>
      <c r="E14" s="77"/>
      <c r="F14" s="77">
        <v>-0.80536912751677847</v>
      </c>
      <c r="G14" s="78">
        <f>SUM(C14:F14)</f>
        <v>-0.80536912751677847</v>
      </c>
      <c r="H14" s="77"/>
      <c r="I14" s="77"/>
      <c r="J14" s="77"/>
      <c r="K14" s="77"/>
      <c r="L14" s="77"/>
      <c r="M14" s="78">
        <f>SUM(I14:L14)</f>
        <v>0</v>
      </c>
      <c r="N14" s="77"/>
      <c r="O14" s="77"/>
      <c r="P14" s="77"/>
      <c r="Q14" s="77"/>
      <c r="R14" s="77"/>
      <c r="S14" s="78">
        <f>SUM(O14:R14)</f>
        <v>0</v>
      </c>
      <c r="T14" s="77"/>
      <c r="U14" s="77"/>
      <c r="V14" s="77"/>
      <c r="W14" s="77"/>
      <c r="X14" s="77"/>
      <c r="Y14" s="78">
        <f>SUM(U14:X14)</f>
        <v>0</v>
      </c>
      <c r="Z14" s="77"/>
      <c r="AA14" s="77"/>
      <c r="AB14" s="77"/>
      <c r="AC14" s="77"/>
      <c r="AD14" s="77"/>
      <c r="AE14" s="78">
        <f>SUM(AA14:AD14)</f>
        <v>0</v>
      </c>
      <c r="AF14" s="77"/>
      <c r="AG14" s="77">
        <v>0</v>
      </c>
      <c r="AH14" s="77">
        <v>0</v>
      </c>
      <c r="AI14" s="77">
        <v>0</v>
      </c>
      <c r="AJ14" s="77">
        <v>0</v>
      </c>
      <c r="AK14" s="78">
        <f>SUM(AG14:AJ14)</f>
        <v>0</v>
      </c>
      <c r="AL14" s="77"/>
      <c r="AM14" s="77">
        <v>0</v>
      </c>
      <c r="AN14" s="77">
        <v>0</v>
      </c>
      <c r="AO14" s="77">
        <v>0</v>
      </c>
      <c r="AP14" s="77">
        <v>0</v>
      </c>
      <c r="AQ14" s="78">
        <f>SUM(AM14:AP14)</f>
        <v>0</v>
      </c>
      <c r="AR14" s="77"/>
      <c r="AS14" s="77">
        <v>0</v>
      </c>
      <c r="AT14" s="77">
        <v>0</v>
      </c>
      <c r="AU14" s="77">
        <v>0</v>
      </c>
      <c r="AV14" s="77">
        <v>0</v>
      </c>
      <c r="AW14" s="78">
        <f>SUM(AS14:AV14)</f>
        <v>0</v>
      </c>
      <c r="AX14" s="77"/>
      <c r="AY14" s="77">
        <v>0</v>
      </c>
      <c r="AZ14" s="77">
        <v>0</v>
      </c>
      <c r="BA14" s="77">
        <v>0</v>
      </c>
      <c r="BB14" s="77">
        <v>0</v>
      </c>
      <c r="BC14" s="78">
        <f>SUM(AY14:BB14)</f>
        <v>0</v>
      </c>
      <c r="BD14" s="77"/>
      <c r="BE14" s="77">
        <v>0</v>
      </c>
      <c r="BF14" s="77">
        <v>0</v>
      </c>
      <c r="BG14" s="77">
        <v>0</v>
      </c>
      <c r="BH14" s="77">
        <v>0</v>
      </c>
      <c r="BI14" s="78">
        <f>SUM(BE14:BH14)</f>
        <v>0</v>
      </c>
      <c r="BJ14" s="77"/>
      <c r="BK14" s="77">
        <v>0</v>
      </c>
      <c r="BL14" s="77">
        <v>-3.7583892617449663</v>
      </c>
      <c r="BM14" s="77">
        <v>0</v>
      </c>
      <c r="BN14" s="77">
        <v>-0.1</v>
      </c>
      <c r="BO14" s="78">
        <f>SUM(BK14:BN14)</f>
        <v>-3.8583892617449664</v>
      </c>
      <c r="BP14" s="77"/>
      <c r="BQ14" s="77">
        <v>0</v>
      </c>
      <c r="BR14" s="77">
        <v>0</v>
      </c>
      <c r="BS14" s="77">
        <v>0</v>
      </c>
      <c r="BT14" s="77">
        <v>0</v>
      </c>
      <c r="BU14" s="78">
        <f>SUM(BQ14:BT14)</f>
        <v>0</v>
      </c>
      <c r="BV14" s="77"/>
      <c r="BW14" s="77">
        <v>0</v>
      </c>
      <c r="BX14" s="77">
        <v>0</v>
      </c>
      <c r="BY14" s="77">
        <v>0</v>
      </c>
      <c r="BZ14" s="77">
        <v>0</v>
      </c>
      <c r="CA14" s="78">
        <f>SUM(BW14:BZ14)</f>
        <v>0</v>
      </c>
      <c r="CC14" s="77">
        <v>0</v>
      </c>
      <c r="CD14" s="77">
        <v>0</v>
      </c>
      <c r="CE14" s="77">
        <v>0</v>
      </c>
      <c r="CF14" s="77">
        <v>0</v>
      </c>
      <c r="CG14" s="78">
        <f>SUM(CC14:CF14)</f>
        <v>0</v>
      </c>
      <c r="CI14" s="77">
        <v>0</v>
      </c>
      <c r="CJ14" s="77">
        <v>0</v>
      </c>
      <c r="CK14" s="77">
        <v>0</v>
      </c>
      <c r="CL14" s="77">
        <v>0</v>
      </c>
      <c r="CM14" s="78">
        <f>SUM(CI14:CL14)</f>
        <v>0</v>
      </c>
    </row>
    <row r="15" spans="1:92" s="5" customFormat="1" ht="18.75" customHeight="1" x14ac:dyDescent="0.2">
      <c r="A15" s="5" t="s">
        <v>2</v>
      </c>
      <c r="C15" s="76">
        <f>SUM(C12:C14)</f>
        <v>9.932885906040271</v>
      </c>
      <c r="D15" s="76">
        <f>SUM(D12:D14)</f>
        <v>16.778523489932887</v>
      </c>
      <c r="E15" s="76">
        <f>SUM(E12:E14)</f>
        <v>18.657718120805367</v>
      </c>
      <c r="F15" s="76">
        <f>SUM(F12:F14)</f>
        <v>19.731543624161073</v>
      </c>
      <c r="G15" s="75">
        <f>SUM(G12:G14)</f>
        <v>65.100671140939582</v>
      </c>
      <c r="H15" s="76"/>
      <c r="I15" s="76">
        <f>SUM(I12:I14)</f>
        <v>16.644295302013422</v>
      </c>
      <c r="J15" s="76">
        <f>SUM(J12:J14)</f>
        <v>43.489932885906036</v>
      </c>
      <c r="K15" s="76">
        <f>SUM(K12:K14)</f>
        <v>27.114093959731544</v>
      </c>
      <c r="L15" s="76">
        <f>SUM(L12:L14)</f>
        <v>22.550335570469798</v>
      </c>
      <c r="M15" s="75">
        <f>SUM(M12:M14)</f>
        <v>109.79865771812081</v>
      </c>
      <c r="N15" s="76"/>
      <c r="O15" s="76">
        <f>SUM(O12:O14)</f>
        <v>25.637583892617453</v>
      </c>
      <c r="P15" s="76">
        <f>SUM(P12:P14)</f>
        <v>44.429530201342281</v>
      </c>
      <c r="Q15" s="76">
        <f>SUM(Q12:Q14)</f>
        <v>33.288590604026844</v>
      </c>
      <c r="R15" s="76">
        <f>SUM(R12:R14)</f>
        <v>48.724832214765101</v>
      </c>
      <c r="S15" s="75">
        <f>SUM(S12:S14)</f>
        <v>152.08053691275168</v>
      </c>
      <c r="T15" s="76"/>
      <c r="U15" s="76">
        <f>SUM(U12:U14)</f>
        <v>30.33557046979865</v>
      </c>
      <c r="V15" s="76">
        <f>SUM(V12:V14)</f>
        <v>50.604026845637584</v>
      </c>
      <c r="W15" s="76">
        <f>SUM(W12:W14)</f>
        <v>32.348993288590606</v>
      </c>
      <c r="X15" s="76">
        <f>SUM(X12:X14)</f>
        <v>-3.4899328859060388</v>
      </c>
      <c r="Y15" s="75">
        <f>SUM(Y12:Y14)</f>
        <v>109.79865771812081</v>
      </c>
      <c r="Z15" s="76"/>
      <c r="AA15" s="76">
        <f>SUM(AA12:AA14)</f>
        <v>4.8322147651006704</v>
      </c>
      <c r="AB15" s="76">
        <f>SUM(AB12:AB14)</f>
        <v>19.597315436241612</v>
      </c>
      <c r="AC15" s="76">
        <f>SUM(AC12:AC14)</f>
        <v>17.583892617449663</v>
      </c>
      <c r="AD15" s="76">
        <f>SUM(AD12:AD14)</f>
        <v>13.825503355704697</v>
      </c>
      <c r="AE15" s="75">
        <f>SUM(AE12:AE14)</f>
        <v>55.838926174496649</v>
      </c>
      <c r="AF15" s="76"/>
      <c r="AG15" s="76">
        <f>SUM(AG12:AG14)</f>
        <v>16.107382550335569</v>
      </c>
      <c r="AH15" s="76">
        <f>SUM(AH12:AH14)</f>
        <v>21.476510067114095</v>
      </c>
      <c r="AI15" s="76">
        <f>SUM(AI12:AI14)</f>
        <v>19.865771812080538</v>
      </c>
      <c r="AJ15" s="76">
        <f>SUM(AJ12:AJ14)</f>
        <v>6.9798657718120785</v>
      </c>
      <c r="AK15" s="75">
        <f>SUM(AK12:AK14)</f>
        <v>64.429530201342274</v>
      </c>
      <c r="AL15" s="76"/>
      <c r="AM15" s="76">
        <f>SUM(AM12:AM14)</f>
        <v>13.020134228187921</v>
      </c>
      <c r="AN15" s="76">
        <f>SUM(AN12:AN14)</f>
        <v>12.885906040268457</v>
      </c>
      <c r="AO15" s="76">
        <f>SUM(AO12:AO14)</f>
        <v>24.832214765100669</v>
      </c>
      <c r="AP15" s="76">
        <f>SUM(AP12:AP14)</f>
        <v>8.9932885906040276</v>
      </c>
      <c r="AQ15" s="75">
        <f>SUM(AQ12:AQ14)</f>
        <v>59.731543624161091</v>
      </c>
      <c r="AR15" s="76"/>
      <c r="AS15" s="76">
        <f>SUM(AS12:AS14)</f>
        <v>13.825503355704697</v>
      </c>
      <c r="AT15" s="76">
        <f>SUM(AT12:AT14)</f>
        <v>13.288590604026844</v>
      </c>
      <c r="AU15" s="76">
        <f>SUM(AU12:AU14)</f>
        <v>13.691275167785236</v>
      </c>
      <c r="AV15" s="76">
        <f>SUM(AV12:AV14)</f>
        <v>22.68456375838926</v>
      </c>
      <c r="AW15" s="75">
        <f>SUM(AW12:AW14)</f>
        <v>63.48993288590605</v>
      </c>
      <c r="AX15" s="76"/>
      <c r="AY15" s="76">
        <f>SUM(AY12:AY14)</f>
        <v>11.812080536912752</v>
      </c>
      <c r="AZ15" s="76">
        <f>SUM(AZ12:AZ14)</f>
        <v>20.000000000000004</v>
      </c>
      <c r="BA15" s="76">
        <f>SUM(BA12:BA14)</f>
        <v>14.093959731543626</v>
      </c>
      <c r="BB15" s="76">
        <f>SUM(BB12:BB14)</f>
        <v>22.281879194630868</v>
      </c>
      <c r="BC15" s="75">
        <f>SUM(BC12:BC14)</f>
        <v>68.187919463087241</v>
      </c>
      <c r="BD15" s="76"/>
      <c r="BE15" s="76">
        <f>SUM(BE12:BE14)</f>
        <v>21.610738255033556</v>
      </c>
      <c r="BF15" s="76">
        <f>SUM(BF12:BF14)</f>
        <v>11.543624161073827</v>
      </c>
      <c r="BG15" s="76">
        <f>SUM(BG12:BG14)</f>
        <v>13.020134228187919</v>
      </c>
      <c r="BH15" s="76">
        <f>SUM(BH12:BH14)</f>
        <v>21.610738255033556</v>
      </c>
      <c r="BI15" s="75">
        <f>SUM(BI12:BI14)</f>
        <v>67.785234899328842</v>
      </c>
      <c r="BJ15" s="76"/>
      <c r="BK15" s="76">
        <f>SUM(BK12:BK14)</f>
        <v>14.496644295302019</v>
      </c>
      <c r="BL15" s="76">
        <f>SUM(BL12:BL14)</f>
        <v>-5.6375838926174495</v>
      </c>
      <c r="BM15" s="76">
        <f>SUM(BM12:BM14)</f>
        <v>13.557046979865769</v>
      </c>
      <c r="BN15" s="76">
        <f>SUM(BN12:BN14)</f>
        <v>11.799999999999995</v>
      </c>
      <c r="BO15" s="75">
        <f>SUM(BO12:BO14)</f>
        <v>34.216107382550355</v>
      </c>
      <c r="BP15" s="76"/>
      <c r="BQ15" s="76">
        <f>SUM(BQ12:BQ14)</f>
        <v>16.200999999999997</v>
      </c>
      <c r="BR15" s="76">
        <f>SUM(BR12:BR14)</f>
        <v>30.299999999999997</v>
      </c>
      <c r="BS15" s="76">
        <f>SUM(BS12:BS14)</f>
        <v>-20.799999999999997</v>
      </c>
      <c r="BT15" s="76">
        <f>SUM(BT12:BT14)</f>
        <v>14.599999999999996</v>
      </c>
      <c r="BU15" s="75">
        <f>SUM(BU12:BU14)</f>
        <v>40.300999999999988</v>
      </c>
      <c r="BV15" s="76"/>
      <c r="BW15" s="76">
        <f>SUM(BW12:BW14)</f>
        <v>20.3</v>
      </c>
      <c r="BX15" s="76">
        <f>SUM(BX12:BX14)</f>
        <v>52.2</v>
      </c>
      <c r="BY15" s="76">
        <f>SUM(BY12:BY14)</f>
        <v>30.600000000000005</v>
      </c>
      <c r="BZ15" s="76">
        <f>SUM(BZ12:BZ14)</f>
        <v>-2.5999999999999903</v>
      </c>
      <c r="CA15" s="75">
        <f>SUM(CA12:CA14)</f>
        <v>100.50000000000003</v>
      </c>
      <c r="CC15" s="76">
        <f>SUM(CC12:CC14)</f>
        <v>-5.5999999999999979</v>
      </c>
      <c r="CD15" s="76">
        <f>SUM(CD12:CD14)</f>
        <v>4.3000000000000016</v>
      </c>
      <c r="CE15" s="76">
        <f>SUM(CE12:CE14)</f>
        <v>-2.9999999999999991</v>
      </c>
      <c r="CF15" s="76">
        <f>SUM(CF12:CF14)</f>
        <v>-33.20000000000001</v>
      </c>
      <c r="CG15" s="75">
        <f>SUM(CG12:CG14)</f>
        <v>-37.500000000000007</v>
      </c>
      <c r="CI15" s="76">
        <f>SUM(CI12:CI14)</f>
        <v>-22.6</v>
      </c>
      <c r="CJ15" s="76">
        <f>SUM(CJ12:CJ14)</f>
        <v>-13.299999999999999</v>
      </c>
      <c r="CK15" s="76">
        <f>SUM(CK12:CK14)</f>
        <v>-17</v>
      </c>
      <c r="CL15" s="76">
        <f>SUM(CL12:CL14)</f>
        <v>-30.099999999999998</v>
      </c>
      <c r="CM15" s="75">
        <f>SUM(CM12:CM14)</f>
        <v>-82.999999999999986</v>
      </c>
    </row>
    <row r="16" spans="1:92" s="47" customFormat="1" x14ac:dyDescent="0.2">
      <c r="A16" s="47" t="s">
        <v>4</v>
      </c>
      <c r="C16" s="77">
        <v>-2.0134228187919461</v>
      </c>
      <c r="D16" s="77">
        <v>0.13422818791946309</v>
      </c>
      <c r="E16" s="77">
        <v>-0.13422818791946309</v>
      </c>
      <c r="F16" s="77">
        <v>-0.93959731543624159</v>
      </c>
      <c r="G16" s="78">
        <f>SUM(C16:F16)</f>
        <v>-2.9530201342281877</v>
      </c>
      <c r="H16" s="77"/>
      <c r="I16" s="77">
        <v>-1.8791946308724832</v>
      </c>
      <c r="J16" s="77">
        <v>-1.6107382550335569</v>
      </c>
      <c r="K16" s="77">
        <v>-1.2080536912751678</v>
      </c>
      <c r="L16" s="77">
        <v>-1.8791946308724832</v>
      </c>
      <c r="M16" s="78">
        <f>SUM(I16:L16)</f>
        <v>-6.5771812080536911</v>
      </c>
      <c r="N16" s="77"/>
      <c r="O16" s="77">
        <v>-4.1610738255033555</v>
      </c>
      <c r="P16" s="77">
        <v>-3.087248322147651</v>
      </c>
      <c r="Q16" s="77">
        <v>-4.4295302013422821</v>
      </c>
      <c r="R16" s="77">
        <v>-7.7852348993288585</v>
      </c>
      <c r="S16" s="78">
        <f>SUM(O16:R16)</f>
        <v>-19.463087248322147</v>
      </c>
      <c r="T16" s="77"/>
      <c r="U16" s="77">
        <v>-5.6375838926174495</v>
      </c>
      <c r="V16" s="77">
        <v>-9.1275167785234892</v>
      </c>
      <c r="W16" s="77">
        <v>-7.2483221476510069</v>
      </c>
      <c r="X16" s="77">
        <v>-8.3221476510067109</v>
      </c>
      <c r="Y16" s="78">
        <f>SUM(U16:X16)</f>
        <v>-30.335570469798654</v>
      </c>
      <c r="Z16" s="77"/>
      <c r="AA16" s="77">
        <v>-4.6979865771812079</v>
      </c>
      <c r="AB16" s="77">
        <v>-3.4899328859060401</v>
      </c>
      <c r="AC16" s="77">
        <v>-3.2214765100671139</v>
      </c>
      <c r="AD16" s="77">
        <v>-5.3691275167785237</v>
      </c>
      <c r="AE16" s="78">
        <f>SUM(AA16:AD16)</f>
        <v>-16.778523489932883</v>
      </c>
      <c r="AF16" s="77"/>
      <c r="AG16" s="77">
        <v>-3.6241610738255035</v>
      </c>
      <c r="AH16" s="77">
        <v>-2.9530201342281877</v>
      </c>
      <c r="AI16" s="77">
        <v>-5.7718120805369129</v>
      </c>
      <c r="AJ16" s="77">
        <v>-5.7718120805369129</v>
      </c>
      <c r="AK16" s="78">
        <f>SUM(AG16:AJ16)</f>
        <v>-18.120805369127517</v>
      </c>
      <c r="AL16" s="77"/>
      <c r="AM16" s="77">
        <v>-5.7718120805369129</v>
      </c>
      <c r="AN16" s="77">
        <v>-8.1879194630872476</v>
      </c>
      <c r="AO16" s="77">
        <v>-14.228187919463087</v>
      </c>
      <c r="AP16" s="77">
        <v>-9.3959731543624159</v>
      </c>
      <c r="AQ16" s="78">
        <f>SUM(AM16:AP16)</f>
        <v>-37.583892617449663</v>
      </c>
      <c r="AR16" s="77"/>
      <c r="AS16" s="77">
        <v>-7.9194630872483218</v>
      </c>
      <c r="AT16" s="77">
        <v>-6.9798657718120802</v>
      </c>
      <c r="AU16" s="77">
        <v>-5.9060402684563753</v>
      </c>
      <c r="AV16" s="77">
        <v>-5.5033557046979862</v>
      </c>
      <c r="AW16" s="78">
        <f>SUM(AS16:AV16)</f>
        <v>-26.308724832214764</v>
      </c>
      <c r="AX16" s="77"/>
      <c r="AY16" s="77">
        <v>-6.4429530201342278</v>
      </c>
      <c r="AZ16" s="77">
        <v>-5.3691275167785237</v>
      </c>
      <c r="BA16" s="77">
        <v>-4.8322147651006713</v>
      </c>
      <c r="BB16" s="77">
        <v>-4.8322147651006713</v>
      </c>
      <c r="BC16" s="78">
        <f>SUM(AY16:BB16)</f>
        <v>-21.476510067114098</v>
      </c>
      <c r="BD16" s="77"/>
      <c r="BE16" s="77">
        <v>-3.3557046979865772</v>
      </c>
      <c r="BF16" s="77">
        <v>-3.6241610738255035</v>
      </c>
      <c r="BG16" s="77">
        <v>-2.8187919463087248</v>
      </c>
      <c r="BH16" s="77">
        <v>-3.4899328859060401</v>
      </c>
      <c r="BI16" s="78">
        <f>SUM(BE16:BH16)</f>
        <v>-13.288590604026846</v>
      </c>
      <c r="BJ16" s="77"/>
      <c r="BK16" s="77">
        <v>2.1476510067114094</v>
      </c>
      <c r="BL16" s="77">
        <v>-2.8187919463087248</v>
      </c>
      <c r="BM16" s="77">
        <v>-3.4899328859060401</v>
      </c>
      <c r="BN16" s="77">
        <v>-1.94</v>
      </c>
      <c r="BO16" s="78">
        <f>SUM(BK16:BN16)</f>
        <v>-6.1010738255033559</v>
      </c>
      <c r="BP16" s="77"/>
      <c r="BQ16" s="77">
        <v>-1.2</v>
      </c>
      <c r="BR16" s="77">
        <v>-2.9</v>
      </c>
      <c r="BS16" s="77">
        <v>-2.1</v>
      </c>
      <c r="BT16" s="77">
        <v>0.9</v>
      </c>
      <c r="BU16" s="78">
        <f>SUM(BQ16:BT16)</f>
        <v>-5.2999999999999989</v>
      </c>
      <c r="BV16" s="77"/>
      <c r="BW16" s="77">
        <v>-4.4000000000000004</v>
      </c>
      <c r="BX16" s="77">
        <v>-7.9</v>
      </c>
      <c r="BY16" s="77">
        <v>-5.3</v>
      </c>
      <c r="BZ16" s="77">
        <f>17.6-20.9</f>
        <v>-3.2999999999999972</v>
      </c>
      <c r="CA16" s="78">
        <f>SUM(BW16:BZ16)</f>
        <v>-20.9</v>
      </c>
      <c r="CC16" s="77">
        <v>-2.1</v>
      </c>
      <c r="CD16" s="77">
        <v>-1.5</v>
      </c>
      <c r="CE16" s="77">
        <v>-2.6</v>
      </c>
      <c r="CF16" s="77">
        <f>-8+6.2</f>
        <v>-1.7999999999999998</v>
      </c>
      <c r="CG16" s="78">
        <f>SUM(CC16:CF16)</f>
        <v>-8</v>
      </c>
      <c r="CI16" s="77">
        <v>-2.1</v>
      </c>
      <c r="CJ16" s="77">
        <v>-1.7</v>
      </c>
      <c r="CK16" s="77">
        <v>-2.4</v>
      </c>
      <c r="CL16" s="77">
        <v>-6.1</v>
      </c>
      <c r="CM16" s="78">
        <f>SUM(CI16:CL16)</f>
        <v>-12.299999999999999</v>
      </c>
    </row>
    <row r="17" spans="1:91" s="5" customFormat="1" ht="18.75" customHeight="1" x14ac:dyDescent="0.2">
      <c r="A17" s="1" t="s">
        <v>5</v>
      </c>
      <c r="C17" s="76">
        <f>SUM(C15:C16)</f>
        <v>7.9194630872483245</v>
      </c>
      <c r="D17" s="76">
        <f>SUM(D15:D16)</f>
        <v>16.912751677852349</v>
      </c>
      <c r="E17" s="76">
        <f>SUM(E15:E16)</f>
        <v>18.523489932885905</v>
      </c>
      <c r="F17" s="76">
        <f>SUM(F15:F16)</f>
        <v>18.791946308724832</v>
      </c>
      <c r="G17" s="75">
        <f>SUM(G15:G16)</f>
        <v>62.147651006711392</v>
      </c>
      <c r="H17" s="76"/>
      <c r="I17" s="76">
        <f>SUM(I15:I16)</f>
        <v>14.765100671140939</v>
      </c>
      <c r="J17" s="76">
        <f>SUM(J15:J16)</f>
        <v>41.879194630872476</v>
      </c>
      <c r="K17" s="76">
        <f>SUM(K15:K16)</f>
        <v>25.906040268456376</v>
      </c>
      <c r="L17" s="76">
        <f>SUM(L15:L16)</f>
        <v>20.671140939597315</v>
      </c>
      <c r="M17" s="75">
        <f>SUM(M15:M16)</f>
        <v>103.22147651006712</v>
      </c>
      <c r="N17" s="76"/>
      <c r="O17" s="76">
        <f>SUM(O15:O16)</f>
        <v>21.476510067114098</v>
      </c>
      <c r="P17" s="76">
        <f>SUM(P15:P16)</f>
        <v>41.34228187919463</v>
      </c>
      <c r="Q17" s="76">
        <f>SUM(Q15:Q16)</f>
        <v>28.859060402684563</v>
      </c>
      <c r="R17" s="76">
        <f>SUM(R15:R16)</f>
        <v>40.939597315436245</v>
      </c>
      <c r="S17" s="75">
        <f>SUM(S15:S16)</f>
        <v>132.61744966442953</v>
      </c>
      <c r="T17" s="76"/>
      <c r="U17" s="76">
        <f>SUM(U15:U16)</f>
        <v>24.697986577181201</v>
      </c>
      <c r="V17" s="76">
        <f>SUM(V15:V16)</f>
        <v>41.476510067114091</v>
      </c>
      <c r="W17" s="76">
        <f>SUM(W15:W16)</f>
        <v>25.1006711409396</v>
      </c>
      <c r="X17" s="76">
        <f>SUM(X15:X16)</f>
        <v>-11.812080536912749</v>
      </c>
      <c r="Y17" s="75">
        <f>SUM(Y15:Y16)</f>
        <v>79.463087248322154</v>
      </c>
      <c r="Z17" s="76"/>
      <c r="AA17" s="76">
        <f>SUM(AA15:AA16)</f>
        <v>0.13422818791946245</v>
      </c>
      <c r="AB17" s="76">
        <f>SUM(AB15:AB16)</f>
        <v>16.107382550335572</v>
      </c>
      <c r="AC17" s="76">
        <f>SUM(AC15:AC16)</f>
        <v>14.36241610738255</v>
      </c>
      <c r="AD17" s="76">
        <f>SUM(AD15:AD16)</f>
        <v>8.4563758389261743</v>
      </c>
      <c r="AE17" s="75">
        <f>SUM(AE15:AE16)</f>
        <v>39.060402684563769</v>
      </c>
      <c r="AF17" s="76"/>
      <c r="AG17" s="76">
        <f>SUM(AG15:AG16)</f>
        <v>12.483221476510066</v>
      </c>
      <c r="AH17" s="76">
        <f>SUM(AH15:AH16)</f>
        <v>18.523489932885909</v>
      </c>
      <c r="AI17" s="76">
        <f>SUM(AI15:AI16)</f>
        <v>14.093959731543626</v>
      </c>
      <c r="AJ17" s="76">
        <f>SUM(AJ15:AJ16)</f>
        <v>1.2080536912751656</v>
      </c>
      <c r="AK17" s="75">
        <f>SUM(AK15:AK16)</f>
        <v>46.308724832214757</v>
      </c>
      <c r="AL17" s="76"/>
      <c r="AM17" s="76">
        <f>SUM(AM15:AM16)</f>
        <v>7.2483221476510078</v>
      </c>
      <c r="AN17" s="76">
        <f>SUM(AN15:AN16)</f>
        <v>4.6979865771812097</v>
      </c>
      <c r="AO17" s="76">
        <f>SUM(AO15:AO16)</f>
        <v>10.604026845637582</v>
      </c>
      <c r="AP17" s="76">
        <f>SUM(AP15:AP16)</f>
        <v>-0.40268456375838824</v>
      </c>
      <c r="AQ17" s="75">
        <f>SUM(AQ15:AQ16)</f>
        <v>22.147651006711428</v>
      </c>
      <c r="AR17" s="76"/>
      <c r="AS17" s="76">
        <f>SUM(AS15:AS16)</f>
        <v>5.9060402684563753</v>
      </c>
      <c r="AT17" s="76">
        <f>SUM(AT15:AT16)</f>
        <v>6.3087248322147635</v>
      </c>
      <c r="AU17" s="76">
        <f>SUM(AU15:AU16)</f>
        <v>7.7852348993288603</v>
      </c>
      <c r="AV17" s="76">
        <f>SUM(AV15:AV16)</f>
        <v>17.181208053691272</v>
      </c>
      <c r="AW17" s="75">
        <f>SUM(AW15:AW16)</f>
        <v>37.181208053691286</v>
      </c>
      <c r="AX17" s="76"/>
      <c r="AY17" s="76">
        <f>SUM(AY15:AY16)</f>
        <v>5.3691275167785246</v>
      </c>
      <c r="AZ17" s="76">
        <f>SUM(AZ15:AZ16)</f>
        <v>14.630872483221481</v>
      </c>
      <c r="BA17" s="76">
        <f>SUM(BA15:BA16)</f>
        <v>9.2617449664429543</v>
      </c>
      <c r="BB17" s="76">
        <f>SUM(BB15:BB16)</f>
        <v>17.449664429530195</v>
      </c>
      <c r="BC17" s="75">
        <f>SUM(BC15:BC16)</f>
        <v>46.711409395973142</v>
      </c>
      <c r="BD17" s="76"/>
      <c r="BE17" s="76">
        <f>SUM(BE15:BE16)</f>
        <v>18.255033557046978</v>
      </c>
      <c r="BF17" s="76">
        <f>SUM(BF15:BF16)</f>
        <v>7.9194630872483245</v>
      </c>
      <c r="BG17" s="76">
        <f>SUM(BG15:BG16)</f>
        <v>10.201342281879194</v>
      </c>
      <c r="BH17" s="76">
        <f>SUM(BH15:BH16)</f>
        <v>18.120805369127517</v>
      </c>
      <c r="BI17" s="75">
        <f>SUM(BI15:BI16)</f>
        <v>54.496644295301998</v>
      </c>
      <c r="BJ17" s="76"/>
      <c r="BK17" s="76">
        <f>SUM(BK15:BK16)</f>
        <v>16.644295302013429</v>
      </c>
      <c r="BL17" s="76">
        <f>SUM(BL15:BL16)</f>
        <v>-8.4563758389261743</v>
      </c>
      <c r="BM17" s="76">
        <f>SUM(BM15:BM16)</f>
        <v>10.067114093959729</v>
      </c>
      <c r="BN17" s="76">
        <f>SUM(BN15:BN16)</f>
        <v>9.8599999999999959</v>
      </c>
      <c r="BO17" s="75">
        <f>SUM(BO15:BO16)</f>
        <v>28.115033557046999</v>
      </c>
      <c r="BP17" s="76"/>
      <c r="BQ17" s="76">
        <f>SUM(BQ15:BQ16)</f>
        <v>15.000999999999998</v>
      </c>
      <c r="BR17" s="76">
        <f>SUM(BR15:BR16)</f>
        <v>27.4</v>
      </c>
      <c r="BS17" s="76">
        <f>SUM(BS15:BS16)</f>
        <v>-22.9</v>
      </c>
      <c r="BT17" s="76">
        <f>SUM(BT15:BT16)</f>
        <v>15.499999999999996</v>
      </c>
      <c r="BU17" s="75">
        <f>SUM(BU15:BU16)</f>
        <v>35.000999999999991</v>
      </c>
      <c r="BV17" s="76"/>
      <c r="BW17" s="76">
        <f>SUM(BW15:BW16)</f>
        <v>15.9</v>
      </c>
      <c r="BX17" s="76">
        <f>SUM(BX15:BX16)</f>
        <v>44.300000000000004</v>
      </c>
      <c r="BY17" s="76">
        <f>SUM(BY15:BY16)</f>
        <v>25.300000000000004</v>
      </c>
      <c r="BZ17" s="76">
        <f>SUM(BZ15:BZ16)</f>
        <v>-5.8999999999999879</v>
      </c>
      <c r="CA17" s="75">
        <f>SUM(CA15:CA16)</f>
        <v>79.600000000000023</v>
      </c>
      <c r="CC17" s="76">
        <f>SUM(CC15:CC16)</f>
        <v>-7.6999999999999975</v>
      </c>
      <c r="CD17" s="76">
        <f>SUM(CD15:CD16)</f>
        <v>2.8000000000000016</v>
      </c>
      <c r="CE17" s="76">
        <f>SUM(CE15:CE16)</f>
        <v>-5.6</v>
      </c>
      <c r="CF17" s="76">
        <f>SUM(CF15:CF16)</f>
        <v>-35.000000000000007</v>
      </c>
      <c r="CG17" s="75">
        <f>SUM(CG15:CG16)</f>
        <v>-45.500000000000007</v>
      </c>
      <c r="CI17" s="76">
        <f>SUM(CI15:CI16)</f>
        <v>-24.700000000000003</v>
      </c>
      <c r="CJ17" s="76">
        <f>SUM(CJ15:CJ16)</f>
        <v>-14.999999999999998</v>
      </c>
      <c r="CK17" s="76">
        <f>SUM(CK15:CK16)</f>
        <v>-19.399999999999999</v>
      </c>
      <c r="CL17" s="76">
        <f>SUM(CL15:CL16)</f>
        <v>-36.199999999999996</v>
      </c>
      <c r="CM17" s="75">
        <f>SUM(CM15:CM16)</f>
        <v>-95.299999999999983</v>
      </c>
    </row>
    <row r="18" spans="1:91" s="5" customFormat="1" ht="12.75" customHeight="1" x14ac:dyDescent="0.2">
      <c r="A18" s="2" t="s">
        <v>57</v>
      </c>
      <c r="C18" s="76">
        <v>0.13422818791946309</v>
      </c>
      <c r="D18" s="76">
        <v>0</v>
      </c>
      <c r="E18" s="76">
        <v>0</v>
      </c>
      <c r="F18" s="76">
        <v>0</v>
      </c>
      <c r="G18" s="75">
        <f>SUM(C18:F18)</f>
        <v>0.13422818791946309</v>
      </c>
      <c r="H18" s="76"/>
      <c r="I18" s="76">
        <v>0</v>
      </c>
      <c r="J18" s="76">
        <v>0</v>
      </c>
      <c r="K18" s="76"/>
      <c r="L18" s="76"/>
      <c r="M18" s="75">
        <f>SUM(I18:L18)</f>
        <v>0</v>
      </c>
      <c r="N18" s="76"/>
      <c r="O18" s="76">
        <v>0</v>
      </c>
      <c r="P18" s="76" t="s">
        <v>51</v>
      </c>
      <c r="Q18" s="76"/>
      <c r="R18" s="76"/>
      <c r="S18" s="75">
        <f>SUM(O18:R18)</f>
        <v>0</v>
      </c>
      <c r="T18" s="76"/>
      <c r="U18" s="76">
        <v>0</v>
      </c>
      <c r="V18" s="76"/>
      <c r="W18" s="76"/>
      <c r="X18" s="76"/>
      <c r="Y18" s="75">
        <f>SUM(U18:X18)</f>
        <v>0</v>
      </c>
      <c r="Z18" s="76"/>
      <c r="AA18" s="76">
        <v>0</v>
      </c>
      <c r="AB18" s="76"/>
      <c r="AC18" s="76"/>
      <c r="AD18" s="76"/>
      <c r="AE18" s="75">
        <f>SUM(AA18:AD18)</f>
        <v>0</v>
      </c>
      <c r="AF18" s="76"/>
      <c r="AG18" s="31">
        <v>0</v>
      </c>
      <c r="AH18" s="31">
        <v>0</v>
      </c>
      <c r="AI18" s="31">
        <v>0</v>
      </c>
      <c r="AJ18" s="31">
        <v>0</v>
      </c>
      <c r="AK18" s="84">
        <f>SUM(AG18:AJ18)</f>
        <v>0</v>
      </c>
      <c r="AL18" s="31"/>
      <c r="AM18" s="31">
        <v>0</v>
      </c>
      <c r="AN18" s="31">
        <v>0</v>
      </c>
      <c r="AO18" s="31">
        <v>0</v>
      </c>
      <c r="AP18" s="31">
        <v>0</v>
      </c>
      <c r="AQ18" s="84">
        <f>SUM(AM18:AP18)</f>
        <v>0</v>
      </c>
      <c r="AR18" s="31"/>
      <c r="AS18" s="31">
        <v>0</v>
      </c>
      <c r="AT18" s="31">
        <v>188.45637583892616</v>
      </c>
      <c r="AU18" s="31">
        <v>0</v>
      </c>
      <c r="AV18" s="31">
        <v>0.80536912751677847</v>
      </c>
      <c r="AW18" s="84">
        <f>SUM(AS18:AV18)</f>
        <v>189.26174496644293</v>
      </c>
      <c r="AX18" s="76"/>
      <c r="AY18" s="31"/>
      <c r="AZ18" s="31"/>
      <c r="BA18" s="31"/>
      <c r="BB18" s="31"/>
      <c r="BC18" s="84">
        <f>SUM(AY18:BB18)</f>
        <v>0</v>
      </c>
      <c r="BD18" s="76"/>
      <c r="BE18" s="31"/>
      <c r="BF18" s="31"/>
      <c r="BG18" s="31"/>
      <c r="BH18" s="31"/>
      <c r="BI18" s="84">
        <f>SUM(BE18:BH18)</f>
        <v>0</v>
      </c>
      <c r="BJ18" s="76"/>
      <c r="BK18" s="31"/>
      <c r="BL18" s="31"/>
      <c r="BM18" s="31"/>
      <c r="BN18" s="31"/>
      <c r="BO18" s="84">
        <f>SUM(BK18:BN18)</f>
        <v>0</v>
      </c>
      <c r="BP18" s="76"/>
      <c r="BQ18" s="31"/>
      <c r="BR18" s="31"/>
      <c r="BS18" s="31"/>
      <c r="BT18" s="31"/>
      <c r="BU18" s="84">
        <f>SUM(BQ18:BT18)</f>
        <v>0</v>
      </c>
      <c r="BV18" s="76"/>
      <c r="BW18" s="31"/>
      <c r="BX18" s="31"/>
      <c r="BY18" s="31"/>
      <c r="BZ18" s="31">
        <v>876.8</v>
      </c>
      <c r="CA18" s="84">
        <f>SUM(BW18:BZ18)</f>
        <v>876.8</v>
      </c>
      <c r="CC18" s="31"/>
      <c r="CD18" s="31"/>
      <c r="CE18" s="31"/>
      <c r="CF18" s="31"/>
      <c r="CG18" s="84">
        <f>SUM(CC18:CF18)</f>
        <v>0</v>
      </c>
      <c r="CI18" s="31"/>
      <c r="CJ18" s="31"/>
      <c r="CK18" s="31"/>
      <c r="CL18" s="31"/>
      <c r="CM18" s="84">
        <f>SUM(CI18:CL18)</f>
        <v>0</v>
      </c>
    </row>
    <row r="19" spans="1:91" s="47" customFormat="1" x14ac:dyDescent="0.2">
      <c r="A19" s="47" t="s">
        <v>6</v>
      </c>
      <c r="C19" s="77">
        <v>-0.93959731543624159</v>
      </c>
      <c r="D19" s="77">
        <v>-2.8187919463087248</v>
      </c>
      <c r="E19" s="77">
        <v>-2.8187919463087248</v>
      </c>
      <c r="F19" s="77">
        <v>-7.2483221476510069</v>
      </c>
      <c r="G19" s="78">
        <f>SUM(C19:F19)</f>
        <v>-13.825503355704697</v>
      </c>
      <c r="H19" s="77"/>
      <c r="I19" s="77">
        <v>-3.3557046979865772</v>
      </c>
      <c r="J19" s="77">
        <v>-11.275167785234899</v>
      </c>
      <c r="K19" s="77">
        <v>-6.3087248322147653</v>
      </c>
      <c r="L19" s="77">
        <v>-1.3422818791946309</v>
      </c>
      <c r="M19" s="78">
        <f>SUM(I19:L19)</f>
        <v>-22.281879194630871</v>
      </c>
      <c r="N19" s="77"/>
      <c r="O19" s="77">
        <v>-5.3691275167785237</v>
      </c>
      <c r="P19" s="77">
        <v>-11.275167785234899</v>
      </c>
      <c r="Q19" s="77">
        <v>-6.4429530201342278</v>
      </c>
      <c r="R19" s="77">
        <v>0.53691275167785235</v>
      </c>
      <c r="S19" s="78">
        <f>SUM(O19:R19)</f>
        <v>-22.550335570469798</v>
      </c>
      <c r="T19" s="77"/>
      <c r="U19" s="77">
        <v>-6.174496644295302</v>
      </c>
      <c r="V19" s="77">
        <v>-10.335570469798657</v>
      </c>
      <c r="W19" s="77">
        <v>-6.4429530201342278</v>
      </c>
      <c r="X19" s="77">
        <v>-2.2818791946308723</v>
      </c>
      <c r="Y19" s="78">
        <f>SUM(U19:X19)</f>
        <v>-25.234899328859061</v>
      </c>
      <c r="Z19" s="77"/>
      <c r="AA19" s="77">
        <v>-0.13422818791946309</v>
      </c>
      <c r="AB19" s="77">
        <v>-3.4899328859060401</v>
      </c>
      <c r="AC19" s="77">
        <v>-4.8322147651006713</v>
      </c>
      <c r="AD19" s="77">
        <v>1.3422818791946309</v>
      </c>
      <c r="AE19" s="78">
        <f>SUM(AA19:AD19)</f>
        <v>-7.1140939597315436</v>
      </c>
      <c r="AF19" s="77"/>
      <c r="AG19" s="77">
        <v>-3.7583892617449663</v>
      </c>
      <c r="AH19" s="77">
        <v>-5.5033557046979862</v>
      </c>
      <c r="AI19" s="77">
        <v>-3.3557046979865772</v>
      </c>
      <c r="AJ19" s="77">
        <v>2.5503355704697985</v>
      </c>
      <c r="AK19" s="78">
        <f>SUM(AG19:AJ19)</f>
        <v>-10.067114093959731</v>
      </c>
      <c r="AL19" s="77"/>
      <c r="AM19" s="77">
        <v>-0.40268456375838924</v>
      </c>
      <c r="AN19" s="77">
        <v>-0.67114093959731547</v>
      </c>
      <c r="AO19" s="77">
        <v>-4.8322147651006713</v>
      </c>
      <c r="AP19" s="77">
        <v>0.80536912751677847</v>
      </c>
      <c r="AQ19" s="78">
        <f>SUM(AM19:AP19)</f>
        <v>-5.1006711409395979</v>
      </c>
      <c r="AR19" s="77"/>
      <c r="AS19" s="77">
        <v>-1.7449664429530201</v>
      </c>
      <c r="AT19" s="77">
        <v>-1.6107382550335569</v>
      </c>
      <c r="AU19" s="77">
        <v>-2.8187919463087248</v>
      </c>
      <c r="AV19" s="77">
        <v>-4.6979865771812079</v>
      </c>
      <c r="AW19" s="78">
        <f>SUM(AS19:AV19)</f>
        <v>-10.872483221476511</v>
      </c>
      <c r="AX19" s="77"/>
      <c r="AY19" s="77">
        <v>-2.0134228187919461</v>
      </c>
      <c r="AZ19" s="77">
        <v>-4.4295302013422821</v>
      </c>
      <c r="BA19" s="77">
        <v>-2.1476510067114094</v>
      </c>
      <c r="BB19" s="77">
        <v>-4.1610738255033555</v>
      </c>
      <c r="BC19" s="78">
        <f>SUM(AY19:BB19)</f>
        <v>-12.751677852348994</v>
      </c>
      <c r="BD19" s="77"/>
      <c r="BE19" s="77">
        <v>-6.5771812080536911</v>
      </c>
      <c r="BF19" s="77">
        <v>-1.6107382550335569</v>
      </c>
      <c r="BG19" s="77">
        <v>-2.1476510067114094</v>
      </c>
      <c r="BH19" s="77">
        <v>-6.5771812080536911</v>
      </c>
      <c r="BI19" s="78">
        <f>SUM(BE19:BH19)</f>
        <v>-16.912751677852349</v>
      </c>
      <c r="BJ19" s="77"/>
      <c r="BK19" s="77">
        <v>-4.4295302013422821</v>
      </c>
      <c r="BL19" s="77">
        <v>-19.19463087248322</v>
      </c>
      <c r="BM19" s="77">
        <v>-0.40268456375838924</v>
      </c>
      <c r="BN19" s="77">
        <v>-2.9</v>
      </c>
      <c r="BO19" s="78">
        <f>SUM(BK19:BN19)</f>
        <v>-26.926845637583888</v>
      </c>
      <c r="BP19" s="77"/>
      <c r="BQ19" s="77">
        <v>-4.4000000000000004</v>
      </c>
      <c r="BR19" s="77">
        <v>-7.2</v>
      </c>
      <c r="BS19" s="77">
        <v>-1.9</v>
      </c>
      <c r="BT19" s="77">
        <v>-9.4</v>
      </c>
      <c r="BU19" s="78">
        <f>SUM(BQ19:BT19)</f>
        <v>-22.900000000000002</v>
      </c>
      <c r="BV19" s="77"/>
      <c r="BW19" s="77">
        <v>-3.3</v>
      </c>
      <c r="BX19" s="77">
        <v>-11.8</v>
      </c>
      <c r="BY19" s="77">
        <v>-7.7</v>
      </c>
      <c r="BZ19" s="77">
        <f>22.8-27.6</f>
        <v>-4.8000000000000007</v>
      </c>
      <c r="CA19" s="78">
        <f>SUM(BW19:BZ19)</f>
        <v>-27.6</v>
      </c>
      <c r="CC19" s="77">
        <v>2.7</v>
      </c>
      <c r="CD19" s="77">
        <v>-1.1000000000000001</v>
      </c>
      <c r="CE19" s="77">
        <v>2.8</v>
      </c>
      <c r="CF19" s="77">
        <f>-0.8-4.4</f>
        <v>-5.2</v>
      </c>
      <c r="CG19" s="78">
        <f>SUM(CC19:CF19)</f>
        <v>-0.79999999999999982</v>
      </c>
      <c r="CI19" s="77">
        <v>5.7</v>
      </c>
      <c r="CJ19" s="77">
        <v>-0.1</v>
      </c>
      <c r="CK19" s="77">
        <v>0.2</v>
      </c>
      <c r="CL19" s="77">
        <v>13.5</v>
      </c>
      <c r="CM19" s="78">
        <f>SUM(CI19:CL19)</f>
        <v>19.3</v>
      </c>
    </row>
    <row r="20" spans="1:91" s="48" customFormat="1" ht="18.75" customHeight="1" x14ac:dyDescent="0.2">
      <c r="A20" s="48" t="s">
        <v>7</v>
      </c>
      <c r="C20" s="79">
        <f>SUM(C17:C19)</f>
        <v>7.1140939597315462</v>
      </c>
      <c r="D20" s="79">
        <f>SUM(D17:D19)</f>
        <v>14.093959731543624</v>
      </c>
      <c r="E20" s="79">
        <f>SUM(E17:E19)</f>
        <v>15.70469798657718</v>
      </c>
      <c r="F20" s="79">
        <f>SUM(F17:F19)</f>
        <v>11.543624161073826</v>
      </c>
      <c r="G20" s="80">
        <f>SUM(G17:G19)</f>
        <v>48.456375838926157</v>
      </c>
      <c r="H20" s="79"/>
      <c r="I20" s="79">
        <f>SUM(I17:I19)</f>
        <v>11.409395973154361</v>
      </c>
      <c r="J20" s="79">
        <f>SUM(J17:J19)</f>
        <v>30.604026845637577</v>
      </c>
      <c r="K20" s="79">
        <f>SUM(K17:K19)</f>
        <v>19.597315436241612</v>
      </c>
      <c r="L20" s="79">
        <f>SUM(L17:L19)</f>
        <v>19.328859060402685</v>
      </c>
      <c r="M20" s="80">
        <f>SUM(M17:M19)</f>
        <v>80.939597315436245</v>
      </c>
      <c r="N20" s="79"/>
      <c r="O20" s="79">
        <f>SUM(O17:O19)</f>
        <v>16.107382550335576</v>
      </c>
      <c r="P20" s="79">
        <f>SUM(P17:P19)</f>
        <v>30.067114093959731</v>
      </c>
      <c r="Q20" s="79">
        <f>SUM(Q17:Q19)</f>
        <v>22.416107382550337</v>
      </c>
      <c r="R20" s="79">
        <f>SUM(R17:R19)</f>
        <v>41.476510067114098</v>
      </c>
      <c r="S20" s="80">
        <f>SUM(S17:S19)</f>
        <v>110.06711409395973</v>
      </c>
      <c r="T20" s="79"/>
      <c r="U20" s="79">
        <f>SUM(U17:U19)</f>
        <v>18.523489932885898</v>
      </c>
      <c r="V20" s="79">
        <f>SUM(V17:V19)</f>
        <v>31.140939597315434</v>
      </c>
      <c r="W20" s="79">
        <f>SUM(W17:W19)</f>
        <v>18.65771812080537</v>
      </c>
      <c r="X20" s="79">
        <f>SUM(X17:X19)</f>
        <v>-14.09395973154362</v>
      </c>
      <c r="Y20" s="80">
        <f>SUM(Y17:Y19)</f>
        <v>54.228187919463096</v>
      </c>
      <c r="Z20" s="79"/>
      <c r="AA20" s="79">
        <f>SUM(AA17:AA19)</f>
        <v>-6.3837823915946501E-16</v>
      </c>
      <c r="AB20" s="79">
        <f>SUM(AB17:AB19)</f>
        <v>12.617449664429532</v>
      </c>
      <c r="AC20" s="79">
        <f>SUM(AC17:AC19)</f>
        <v>9.5302013422818792</v>
      </c>
      <c r="AD20" s="79">
        <f>SUM(AD17:AD19)</f>
        <v>9.7986577181208059</v>
      </c>
      <c r="AE20" s="80">
        <f>SUM(AE17:AE19)</f>
        <v>31.946308724832225</v>
      </c>
      <c r="AF20" s="79"/>
      <c r="AG20" s="79">
        <f>SUM(AG17:AG19)</f>
        <v>8.7248322147650992</v>
      </c>
      <c r="AH20" s="79">
        <f>SUM(AH17:AH19)</f>
        <v>13.020134228187922</v>
      </c>
      <c r="AI20" s="79">
        <f>SUM(AI17:AI19)</f>
        <v>10.738255033557049</v>
      </c>
      <c r="AJ20" s="79">
        <f>SUM(AJ17:AJ19)</f>
        <v>3.7583892617449641</v>
      </c>
      <c r="AK20" s="80">
        <f>SUM(AK17:AK19)</f>
        <v>36.241610738255027</v>
      </c>
      <c r="AL20" s="79"/>
      <c r="AM20" s="79">
        <f>SUM(AM17:AM19)</f>
        <v>6.8456375838926187</v>
      </c>
      <c r="AN20" s="79">
        <f>SUM(AN17:AN19)</f>
        <v>4.0268456375838939</v>
      </c>
      <c r="AO20" s="79">
        <f>SUM(AO17:AO19)</f>
        <v>5.7718120805369111</v>
      </c>
      <c r="AP20" s="79">
        <f>SUM(AP17:AP19)</f>
        <v>0.40268456375839023</v>
      </c>
      <c r="AQ20" s="80">
        <f>SUM(AQ17:AQ19)</f>
        <v>17.046979865771831</v>
      </c>
      <c r="AR20" s="79"/>
      <c r="AS20" s="79">
        <f>SUM(AS17:AS19)</f>
        <v>4.1610738255033555</v>
      </c>
      <c r="AT20" s="79">
        <f>SUM(AT17:AT19)</f>
        <v>193.15436241610735</v>
      </c>
      <c r="AU20" s="79">
        <f>SUM(AU17:AU19)</f>
        <v>4.9664429530201355</v>
      </c>
      <c r="AV20" s="79">
        <f>SUM(AV17:AV19)</f>
        <v>13.288590604026844</v>
      </c>
      <c r="AW20" s="80">
        <f>SUM(AW17:AW19)</f>
        <v>215.57046979865771</v>
      </c>
      <c r="AX20" s="79"/>
      <c r="AY20" s="79">
        <f>SUM(AY17:AY19)</f>
        <v>3.3557046979865786</v>
      </c>
      <c r="AZ20" s="79">
        <f>SUM(AZ17:AZ19)</f>
        <v>10.201342281879199</v>
      </c>
      <c r="BA20" s="79">
        <f>SUM(BA17:BA19)</f>
        <v>7.1140939597315445</v>
      </c>
      <c r="BB20" s="79">
        <f>SUM(BB17:BB19)</f>
        <v>13.28859060402684</v>
      </c>
      <c r="BC20" s="80">
        <f>SUM(BC17:BC19)</f>
        <v>33.959731543624144</v>
      </c>
      <c r="BD20" s="79"/>
      <c r="BE20" s="79">
        <f>SUM(BE17:BE19)</f>
        <v>11.677852348993287</v>
      </c>
      <c r="BF20" s="79">
        <f>SUM(BF17:BF19)</f>
        <v>6.308724832214768</v>
      </c>
      <c r="BG20" s="79">
        <f>SUM(BG17:BG19)</f>
        <v>8.0536912751677843</v>
      </c>
      <c r="BH20" s="79">
        <f>SUM(BH17:BH19)</f>
        <v>11.543624161073826</v>
      </c>
      <c r="BI20" s="80">
        <f>SUM(BI17:BI19)</f>
        <v>37.583892617449649</v>
      </c>
      <c r="BJ20" s="79"/>
      <c r="BK20" s="79">
        <f>SUM(BK17:BK19)</f>
        <v>12.214765100671148</v>
      </c>
      <c r="BL20" s="79">
        <f>SUM(BL17:BL19)</f>
        <v>-27.651006711409394</v>
      </c>
      <c r="BM20" s="79">
        <f>SUM(BM17:BM19)</f>
        <v>9.664429530201339</v>
      </c>
      <c r="BN20" s="79">
        <f>SUM(BN17:BN19)</f>
        <v>6.9599999999999955</v>
      </c>
      <c r="BO20" s="80">
        <f>SUM(BO17:BO19)</f>
        <v>1.1881879194631111</v>
      </c>
      <c r="BP20" s="79"/>
      <c r="BQ20" s="79">
        <f>SUM(BQ17:BQ19)</f>
        <v>10.600999999999997</v>
      </c>
      <c r="BR20" s="79">
        <f>SUM(BR17:BR19)</f>
        <v>20.2</v>
      </c>
      <c r="BS20" s="79">
        <f>SUM(BS17:BS19)</f>
        <v>-24.799999999999997</v>
      </c>
      <c r="BT20" s="79">
        <f>SUM(BT17:BT19)</f>
        <v>6.0999999999999961</v>
      </c>
      <c r="BU20" s="80">
        <f>SUM(BU17:BU19)</f>
        <v>12.100999999999988</v>
      </c>
      <c r="BV20" s="79"/>
      <c r="BW20" s="79">
        <f>SUM(BW17:BW19)</f>
        <v>12.600000000000001</v>
      </c>
      <c r="BX20" s="79">
        <f>SUM(BX17:BX19)</f>
        <v>32.5</v>
      </c>
      <c r="BY20" s="79">
        <f>SUM(BY17:BY19)</f>
        <v>17.600000000000005</v>
      </c>
      <c r="BZ20" s="79">
        <f>SUM(BZ17:BZ19)</f>
        <v>866.1</v>
      </c>
      <c r="CA20" s="80">
        <f>SUM(CA17:CA19)</f>
        <v>928.8</v>
      </c>
      <c r="CC20" s="79">
        <f>SUM(CC17:CC19)</f>
        <v>-4.9999999999999973</v>
      </c>
      <c r="CD20" s="79">
        <f>SUM(CD17:CD19)</f>
        <v>1.7000000000000015</v>
      </c>
      <c r="CE20" s="79">
        <f>SUM(CE17:CE19)</f>
        <v>-2.8</v>
      </c>
      <c r="CF20" s="79">
        <f>SUM(CF17:CF19)</f>
        <v>-40.20000000000001</v>
      </c>
      <c r="CG20" s="80">
        <f>SUM(CG17:CG19)</f>
        <v>-46.300000000000004</v>
      </c>
      <c r="CI20" s="79">
        <f>SUM(CI17:CI19)</f>
        <v>-19.000000000000004</v>
      </c>
      <c r="CJ20" s="79">
        <f>SUM(CJ17:CJ19)</f>
        <v>-15.099999999999998</v>
      </c>
      <c r="CK20" s="79">
        <f>SUM(CK17:CK19)</f>
        <v>-19.2</v>
      </c>
      <c r="CL20" s="79">
        <f>SUM(CL17:CL19)</f>
        <v>-22.699999999999996</v>
      </c>
      <c r="CM20" s="80">
        <f>SUM(CM17:CM19)</f>
        <v>-75.999999999999986</v>
      </c>
    </row>
    <row r="21" spans="1:91" s="47" customFormat="1" ht="18.75" customHeight="1" x14ac:dyDescent="0.2">
      <c r="A21" s="47" t="s">
        <v>8</v>
      </c>
      <c r="C21" s="77">
        <v>-0.13422818791946309</v>
      </c>
      <c r="D21" s="77">
        <v>-0.26845637583892618</v>
      </c>
      <c r="E21" s="77">
        <v>-0.26845637583892618</v>
      </c>
      <c r="F21" s="77">
        <v>0.13422818791946309</v>
      </c>
      <c r="G21" s="81">
        <f>SUM(C21:F21)</f>
        <v>-0.53691275167785224</v>
      </c>
      <c r="H21" s="77"/>
      <c r="I21" s="77">
        <v>0</v>
      </c>
      <c r="J21" s="77">
        <v>-1.0738255033557047</v>
      </c>
      <c r="K21" s="77">
        <v>-1.0738255033557047</v>
      </c>
      <c r="L21" s="77">
        <v>-0.67114093959731547</v>
      </c>
      <c r="M21" s="81">
        <f>SUM(I21:L21)</f>
        <v>-2.8187919463087248</v>
      </c>
      <c r="N21" s="77"/>
      <c r="O21" s="77">
        <v>-0.13422818791946309</v>
      </c>
      <c r="P21" s="77">
        <v>-0.53691275167785235</v>
      </c>
      <c r="Q21" s="77">
        <v>-0.53691275167785235</v>
      </c>
      <c r="R21" s="77">
        <v>-0.80536912751677847</v>
      </c>
      <c r="S21" s="81">
        <f>SUM(O21:R21)</f>
        <v>-2.0134228187919465</v>
      </c>
      <c r="T21" s="77"/>
      <c r="U21" s="77">
        <v>-0.26845637583892618</v>
      </c>
      <c r="V21" s="77">
        <v>-0.13422818791946309</v>
      </c>
      <c r="W21" s="77">
        <v>-0.67114093959731547</v>
      </c>
      <c r="X21" s="77">
        <v>0.67114093959731547</v>
      </c>
      <c r="Y21" s="81">
        <f>SUM(U21:X21)</f>
        <v>-0.40268456375838924</v>
      </c>
      <c r="Z21" s="77"/>
      <c r="AA21" s="77">
        <v>0.26845637583892618</v>
      </c>
      <c r="AB21" s="77">
        <v>0</v>
      </c>
      <c r="AC21" s="77">
        <v>-0.13422818791946309</v>
      </c>
      <c r="AD21" s="77">
        <v>0.26845637583892618</v>
      </c>
      <c r="AE21" s="81">
        <f>SUM(AA21:AD21)</f>
        <v>0.40268456375838924</v>
      </c>
      <c r="AF21" s="77"/>
      <c r="AG21" s="77">
        <v>0</v>
      </c>
      <c r="AH21" s="77">
        <v>-0.26845637583892618</v>
      </c>
      <c r="AI21" s="77">
        <v>-0.13422818791946309</v>
      </c>
      <c r="AJ21" s="77">
        <v>-0.13422818791946309</v>
      </c>
      <c r="AK21" s="81">
        <f>SUM(AG21:AJ21)</f>
        <v>-0.53691275167785235</v>
      </c>
      <c r="AL21" s="77"/>
      <c r="AM21" s="77">
        <v>0</v>
      </c>
      <c r="AN21" s="77">
        <v>0</v>
      </c>
      <c r="AO21" s="77">
        <v>-0.13422818791946309</v>
      </c>
      <c r="AP21" s="77">
        <v>-0.13422818791946309</v>
      </c>
      <c r="AQ21" s="81">
        <f>SUM(AM21:AP21)</f>
        <v>-0.26845637583892618</v>
      </c>
      <c r="AR21" s="77"/>
      <c r="AS21" s="77">
        <v>-0.13422818791946309</v>
      </c>
      <c r="AT21" s="77">
        <v>0.13422818791946309</v>
      </c>
      <c r="AU21" s="77">
        <v>-0.13422818791946309</v>
      </c>
      <c r="AV21" s="77">
        <v>-0.13422818791946309</v>
      </c>
      <c r="AW21" s="81">
        <f>SUM(AS21:AV21)</f>
        <v>-0.26845637583892618</v>
      </c>
      <c r="AX21" s="77"/>
      <c r="AY21" s="77">
        <v>0</v>
      </c>
      <c r="AZ21" s="77">
        <v>-0.13422818791946309</v>
      </c>
      <c r="BA21" s="77">
        <v>0</v>
      </c>
      <c r="BB21" s="77">
        <v>0</v>
      </c>
      <c r="BC21" s="81">
        <f>SUM(AY21:BB21)</f>
        <v>-0.13422818791946309</v>
      </c>
      <c r="BD21" s="77"/>
      <c r="BE21" s="77">
        <v>0</v>
      </c>
      <c r="BF21" s="77">
        <v>-0.13422818791946309</v>
      </c>
      <c r="BG21" s="77">
        <v>0</v>
      </c>
      <c r="BH21" s="77">
        <v>0.13422818791946309</v>
      </c>
      <c r="BI21" s="81">
        <f>SUM(BE21:BH21)</f>
        <v>0</v>
      </c>
      <c r="BJ21" s="77"/>
      <c r="BK21" s="77">
        <v>0</v>
      </c>
      <c r="BL21" s="77">
        <v>-0.13422818791946309</v>
      </c>
      <c r="BM21" s="77">
        <v>0</v>
      </c>
      <c r="BN21" s="77">
        <v>-0.1</v>
      </c>
      <c r="BO21" s="81">
        <f>SUM(BK21:BN21)</f>
        <v>-0.23422818791946309</v>
      </c>
      <c r="BP21" s="77"/>
      <c r="BQ21" s="77">
        <v>0</v>
      </c>
      <c r="BR21" s="77">
        <v>0</v>
      </c>
      <c r="BS21" s="77">
        <v>0</v>
      </c>
      <c r="BT21" s="77">
        <v>0</v>
      </c>
      <c r="BU21" s="81">
        <f>SUM(BQ21:BT21)</f>
        <v>0</v>
      </c>
      <c r="BV21" s="77"/>
      <c r="BW21" s="77">
        <v>0</v>
      </c>
      <c r="BX21" s="77">
        <v>0</v>
      </c>
      <c r="BY21" s="77">
        <v>0</v>
      </c>
      <c r="BZ21" s="77">
        <v>1</v>
      </c>
      <c r="CA21" s="81">
        <f>SUM(BW21:BZ21)</f>
        <v>1</v>
      </c>
      <c r="CC21" s="77">
        <v>0</v>
      </c>
      <c r="CD21" s="77">
        <v>0</v>
      </c>
      <c r="CE21" s="77">
        <v>0</v>
      </c>
      <c r="CF21" s="77">
        <v>0</v>
      </c>
      <c r="CG21" s="81">
        <f>SUM(CC21:CF21)</f>
        <v>0</v>
      </c>
      <c r="CI21" s="77">
        <v>0</v>
      </c>
      <c r="CJ21" s="77">
        <v>0</v>
      </c>
      <c r="CK21" s="77">
        <v>0</v>
      </c>
      <c r="CL21" s="77">
        <v>0</v>
      </c>
      <c r="CM21" s="81">
        <f>SUM(CI21:CL21)</f>
        <v>0</v>
      </c>
    </row>
    <row r="22" spans="1:91" s="48" customFormat="1" ht="18.75" customHeight="1" x14ac:dyDescent="0.2">
      <c r="A22" s="48" t="s">
        <v>9</v>
      </c>
      <c r="C22" s="82">
        <f>SUM(C20:C21)</f>
        <v>6.9798657718120829</v>
      </c>
      <c r="D22" s="82">
        <f>SUM(D20:D21)</f>
        <v>13.825503355704697</v>
      </c>
      <c r="E22" s="82">
        <f>SUM(E20:E21)</f>
        <v>15.436241610738254</v>
      </c>
      <c r="F22" s="82">
        <f>SUM(F20:F21)</f>
        <v>11.677852348993289</v>
      </c>
      <c r="G22" s="83">
        <f>SUM(G20:G21)</f>
        <v>47.919463087248303</v>
      </c>
      <c r="H22" s="79"/>
      <c r="I22" s="82">
        <f>SUM(I20:I21)</f>
        <v>11.409395973154361</v>
      </c>
      <c r="J22" s="82">
        <f>SUM(J20:J21)</f>
        <v>29.530201342281874</v>
      </c>
      <c r="K22" s="82">
        <f>SUM(K20:K21)</f>
        <v>18.523489932885909</v>
      </c>
      <c r="L22" s="82">
        <f>SUM(L20:L21)</f>
        <v>18.65771812080537</v>
      </c>
      <c r="M22" s="83">
        <f>SUM(M20:M21)</f>
        <v>78.120805369127524</v>
      </c>
      <c r="N22" s="79"/>
      <c r="O22" s="82">
        <f>SUM(O20:O21)</f>
        <v>15.973154362416112</v>
      </c>
      <c r="P22" s="82">
        <f>SUM(P20:P21)</f>
        <v>29.530201342281877</v>
      </c>
      <c r="Q22" s="82">
        <f>SUM(Q20:Q21)</f>
        <v>21.879194630872483</v>
      </c>
      <c r="R22" s="82">
        <f>SUM(R20:R21)</f>
        <v>40.671140939597322</v>
      </c>
      <c r="S22" s="83">
        <f>SUM(S20:S21)</f>
        <v>108.05369127516778</v>
      </c>
      <c r="T22" s="79"/>
      <c r="U22" s="82">
        <f>SUM(U20:U21)</f>
        <v>18.255033557046971</v>
      </c>
      <c r="V22" s="82">
        <f>SUM(V20:V21)</f>
        <v>31.006711409395972</v>
      </c>
      <c r="W22" s="82">
        <f>SUM(W20:W21)</f>
        <v>17.986577181208055</v>
      </c>
      <c r="X22" s="82">
        <f>SUM(X20:X21)</f>
        <v>-13.422818791946305</v>
      </c>
      <c r="Y22" s="83">
        <f>SUM(Y20:Y21)</f>
        <v>53.825503355704704</v>
      </c>
      <c r="Z22" s="79"/>
      <c r="AA22" s="82">
        <f>SUM(AA20:AA21)</f>
        <v>0.26845637583892556</v>
      </c>
      <c r="AB22" s="82">
        <f>SUM(AB20:AB21)</f>
        <v>12.617449664429532</v>
      </c>
      <c r="AC22" s="82">
        <f>SUM(AC20:AC21)</f>
        <v>9.3959731543624159</v>
      </c>
      <c r="AD22" s="82">
        <f>SUM(AD20:AD21)</f>
        <v>10.067114093959733</v>
      </c>
      <c r="AE22" s="83">
        <f>SUM(AE20:AE21)</f>
        <v>32.348993288590613</v>
      </c>
      <c r="AF22" s="79"/>
      <c r="AG22" s="82">
        <f>SUM(AG20:AG21)</f>
        <v>8.7248322147650992</v>
      </c>
      <c r="AH22" s="82">
        <f>SUM(AH20:AH21)</f>
        <v>12.751677852348996</v>
      </c>
      <c r="AI22" s="82">
        <f>SUM(AI20:AI21)</f>
        <v>10.604026845637586</v>
      </c>
      <c r="AJ22" s="82">
        <f>SUM(AJ20:AJ21)</f>
        <v>3.6241610738255012</v>
      </c>
      <c r="AK22" s="83">
        <f>SUM(AK20:AK21)</f>
        <v>35.704697986577173</v>
      </c>
      <c r="AL22" s="79"/>
      <c r="AM22" s="82">
        <f>SUM(AM20:AM21)</f>
        <v>6.8456375838926187</v>
      </c>
      <c r="AN22" s="82">
        <f>SUM(AN20:AN21)</f>
        <v>4.0268456375838939</v>
      </c>
      <c r="AO22" s="82">
        <f>SUM(AO20:AO21)</f>
        <v>5.6375838926174477</v>
      </c>
      <c r="AP22" s="82">
        <v>-1</v>
      </c>
      <c r="AQ22" s="83">
        <f>SUM(AQ20:AQ21)</f>
        <v>16.778523489932905</v>
      </c>
      <c r="AR22" s="79"/>
      <c r="AS22" s="82">
        <f>SUM(AS20:AS21)</f>
        <v>4.0268456375838921</v>
      </c>
      <c r="AT22" s="82">
        <f>SUM(AT20:AT21)</f>
        <v>193.28859060402681</v>
      </c>
      <c r="AU22" s="82">
        <f>SUM(AU20:AU21)</f>
        <v>4.8322147651006722</v>
      </c>
      <c r="AV22" s="82">
        <f>SUM(AV20:AV21)</f>
        <v>13.15436241610738</v>
      </c>
      <c r="AW22" s="83">
        <f>SUM(AW20:AW21)</f>
        <v>215.30201342281879</v>
      </c>
      <c r="AX22" s="79"/>
      <c r="AY22" s="82">
        <f>SUM(AY20:AY21)</f>
        <v>3.3557046979865786</v>
      </c>
      <c r="AZ22" s="82">
        <f>SUM(AZ20:AZ21)</f>
        <v>10.067114093959736</v>
      </c>
      <c r="BA22" s="82">
        <f>SUM(BA20:BA21)</f>
        <v>7.1140939597315445</v>
      </c>
      <c r="BB22" s="82">
        <f>SUM(BB20:BB21)</f>
        <v>13.28859060402684</v>
      </c>
      <c r="BC22" s="83">
        <f>SUM(BC20:BC21)</f>
        <v>33.825503355704683</v>
      </c>
      <c r="BD22" s="79"/>
      <c r="BE22" s="82">
        <f>SUM(BE20:BE21)</f>
        <v>11.677852348993287</v>
      </c>
      <c r="BF22" s="82">
        <f>SUM(BF20:BF21)</f>
        <v>6.1744966442953046</v>
      </c>
      <c r="BG22" s="82">
        <f>SUM(BG20:BG21)</f>
        <v>8.0536912751677843</v>
      </c>
      <c r="BH22" s="82">
        <f>SUM(BH20:BH21)</f>
        <v>11.677852348993289</v>
      </c>
      <c r="BI22" s="83">
        <f>SUM(BI20:BI21)</f>
        <v>37.583892617449649</v>
      </c>
      <c r="BJ22" s="79"/>
      <c r="BK22" s="82">
        <f>SUM(BK20:BK21)</f>
        <v>12.214765100671148</v>
      </c>
      <c r="BL22" s="82">
        <f>SUM(BL20:BL21)</f>
        <v>-27.785234899328856</v>
      </c>
      <c r="BM22" s="82">
        <f>SUM(BM20:BM21)</f>
        <v>9.664429530201339</v>
      </c>
      <c r="BN22" s="82">
        <f>SUM(BN20:BN21)</f>
        <v>6.8599999999999959</v>
      </c>
      <c r="BO22" s="83">
        <f>SUM(BO20:BO21)</f>
        <v>0.95395973154364799</v>
      </c>
      <c r="BP22" s="79"/>
      <c r="BQ22" s="82">
        <f>SUM(BQ20:BQ21)</f>
        <v>10.600999999999997</v>
      </c>
      <c r="BR22" s="82">
        <f>SUM(BR20:BR21)</f>
        <v>20.2</v>
      </c>
      <c r="BS22" s="82">
        <f>SUM(BS20:BS21)</f>
        <v>-24.799999999999997</v>
      </c>
      <c r="BT22" s="82">
        <f>SUM(BT20:BT21)</f>
        <v>6.0999999999999961</v>
      </c>
      <c r="BU22" s="83">
        <f>SUM(BU20:BU21)</f>
        <v>12.100999999999988</v>
      </c>
      <c r="BV22" s="79"/>
      <c r="BW22" s="82">
        <f>SUM(BW20:BW21)</f>
        <v>12.600000000000001</v>
      </c>
      <c r="BX22" s="82">
        <f>SUM(BX20:BX21)</f>
        <v>32.5</v>
      </c>
      <c r="BY22" s="82">
        <f>SUM(BY20:BY21)</f>
        <v>17.600000000000005</v>
      </c>
      <c r="BZ22" s="82">
        <f>SUM(BZ20:BZ21)</f>
        <v>867.1</v>
      </c>
      <c r="CA22" s="83">
        <f>SUM(CA20:CA21)</f>
        <v>929.8</v>
      </c>
      <c r="CC22" s="82">
        <f>SUM(CC20:CC21)</f>
        <v>-4.9999999999999973</v>
      </c>
      <c r="CD22" s="82">
        <f>SUM(CD20:CD21)</f>
        <v>1.7000000000000015</v>
      </c>
      <c r="CE22" s="82">
        <f>SUM(CE20:CE21)</f>
        <v>-2.8</v>
      </c>
      <c r="CF22" s="82">
        <f>SUM(CF20:CF21)</f>
        <v>-40.20000000000001</v>
      </c>
      <c r="CG22" s="83">
        <f>SUM(CG20:CG21)</f>
        <v>-46.300000000000004</v>
      </c>
      <c r="CI22" s="82">
        <f>SUM(CI20:CI21)</f>
        <v>-19.000000000000004</v>
      </c>
      <c r="CJ22" s="82">
        <f>SUM(CJ20:CJ21)</f>
        <v>-15.099999999999998</v>
      </c>
      <c r="CK22" s="82">
        <f>SUM(CK20:CK21)</f>
        <v>-19.2</v>
      </c>
      <c r="CL22" s="82">
        <f>SUM(CL20:CL21)</f>
        <v>-22.699999999999996</v>
      </c>
      <c r="CM22" s="83">
        <f>SUM(CM20:CM21)</f>
        <v>-75.999999999999986</v>
      </c>
    </row>
    <row r="23" spans="1:91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</row>
    <row r="24" spans="1:91" x14ac:dyDescent="0.2">
      <c r="C24" s="31"/>
      <c r="D24" s="31"/>
      <c r="E24" s="31"/>
      <c r="F24" s="31"/>
      <c r="G24" s="75"/>
      <c r="H24" s="31"/>
      <c r="I24" s="31"/>
      <c r="J24" s="31"/>
      <c r="K24" s="31"/>
      <c r="L24" s="31"/>
      <c r="M24" s="75"/>
      <c r="N24" s="31"/>
      <c r="O24" s="31"/>
      <c r="P24" s="31"/>
      <c r="Q24" s="31"/>
      <c r="R24" s="31"/>
      <c r="S24" s="75"/>
      <c r="T24" s="31"/>
      <c r="U24" s="31"/>
      <c r="V24" s="31"/>
      <c r="W24" s="31"/>
      <c r="X24" s="31"/>
      <c r="Y24" s="75"/>
      <c r="Z24" s="31"/>
      <c r="AA24" s="31"/>
      <c r="AB24" s="31"/>
      <c r="AC24" s="31"/>
      <c r="AD24" s="31"/>
      <c r="AE24" s="75"/>
      <c r="AF24" s="31"/>
      <c r="AG24" s="31"/>
      <c r="AH24" s="31"/>
      <c r="AI24" s="31"/>
      <c r="AJ24" s="31"/>
      <c r="AK24" s="75"/>
      <c r="AL24" s="31"/>
      <c r="AM24" s="31"/>
      <c r="AN24" s="31"/>
      <c r="AO24" s="31"/>
      <c r="AP24" s="31"/>
      <c r="AQ24" s="75"/>
      <c r="AR24" s="31"/>
      <c r="AS24" s="31"/>
      <c r="AT24" s="31"/>
      <c r="AU24" s="31"/>
      <c r="AV24" s="31"/>
      <c r="AW24" s="75"/>
      <c r="AX24" s="31"/>
      <c r="AY24" s="31"/>
      <c r="AZ24" s="31"/>
      <c r="BA24" s="31"/>
      <c r="BB24" s="31"/>
      <c r="BC24" s="75"/>
      <c r="BD24" s="31"/>
      <c r="BE24" s="31"/>
      <c r="BF24" s="31"/>
      <c r="BG24" s="31"/>
      <c r="BH24" s="31"/>
      <c r="BI24" s="75"/>
      <c r="BJ24" s="31"/>
      <c r="BK24" s="31"/>
      <c r="BL24" s="31"/>
      <c r="BM24" s="31"/>
      <c r="BN24" s="31"/>
      <c r="BO24" s="75"/>
      <c r="BP24" s="31"/>
      <c r="BQ24" s="31"/>
      <c r="BR24" s="31"/>
      <c r="BS24" s="31"/>
      <c r="BT24" s="31"/>
      <c r="BU24" s="75"/>
      <c r="BV24" s="31"/>
      <c r="BW24" s="31"/>
      <c r="BX24" s="31"/>
      <c r="BY24" s="31"/>
      <c r="BZ24" s="31"/>
      <c r="CA24" s="75"/>
      <c r="CC24" s="31"/>
      <c r="CD24" s="31"/>
      <c r="CE24" s="31"/>
      <c r="CF24" s="31"/>
      <c r="CG24" s="75"/>
      <c r="CI24" s="31"/>
      <c r="CJ24" s="31"/>
      <c r="CK24" s="31"/>
      <c r="CL24" s="31"/>
      <c r="CM24" s="75"/>
    </row>
    <row r="25" spans="1:91" x14ac:dyDescent="0.2">
      <c r="A25" s="5" t="s">
        <v>134</v>
      </c>
      <c r="C25" s="31">
        <f>(+'Segment Data'!C16)/7.45</f>
        <v>32.232782307103278</v>
      </c>
      <c r="D25" s="31">
        <f>(+'Segment Data'!D16)/7.45</f>
        <v>38.989234719156798</v>
      </c>
      <c r="E25" s="31">
        <f>(+'Segment Data'!E16)/7.45</f>
        <v>37.421737759560379</v>
      </c>
      <c r="F25" s="31">
        <f>(+'Segment Data'!F16)/7.45</f>
        <v>38.736993829106794</v>
      </c>
      <c r="G25" s="84">
        <f>+'Segment Data'!G16</f>
        <v>1097.9865771812081</v>
      </c>
      <c r="H25" s="31"/>
      <c r="I25" s="31">
        <v>288.45637583892619</v>
      </c>
      <c r="J25" s="31">
        <v>316.51006711409394</v>
      </c>
      <c r="K25" s="31">
        <v>292.34899328859058</v>
      </c>
      <c r="L25" s="31">
        <v>310.73825503355704</v>
      </c>
      <c r="M25" s="84">
        <f>+'Segment Data'!M16</f>
        <v>1208.0536912751677</v>
      </c>
      <c r="N25" s="31"/>
      <c r="O25" s="31">
        <v>340.80536912751677</v>
      </c>
      <c r="P25" s="31">
        <v>385.1006711409396</v>
      </c>
      <c r="Q25" s="85">
        <v>351.54362416107381</v>
      </c>
      <c r="R25" s="85">
        <v>371.94630872483219</v>
      </c>
      <c r="S25" s="84">
        <f>+'Segment Data'!S16</f>
        <v>1449.3959731543625</v>
      </c>
      <c r="T25" s="31"/>
      <c r="U25" s="31">
        <f>(+'Segment Data'!U16)/7.45</f>
        <v>48.628440160353129</v>
      </c>
      <c r="V25" s="31">
        <f>(+'Segment Data'!V16)/7.45</f>
        <v>55.511013017431644</v>
      </c>
      <c r="W25" s="31">
        <f>(+'Segment Data'!W16)/7.45</f>
        <v>50.700418900049542</v>
      </c>
      <c r="X25" s="31">
        <f>(+'Segment Data'!X16)/7.45</f>
        <v>48.268096031710286</v>
      </c>
      <c r="Y25" s="84">
        <f>SUM(U25:X25)</f>
        <v>203.1079681095446</v>
      </c>
      <c r="Z25" s="31"/>
      <c r="AA25" s="31">
        <v>314.49664429530202</v>
      </c>
      <c r="AB25" s="31">
        <v>361.20805369127515</v>
      </c>
      <c r="AC25" s="31">
        <v>330.60402684563758</v>
      </c>
      <c r="AD25" s="31">
        <v>329.26174496644296</v>
      </c>
      <c r="AE25" s="84">
        <f>SUM(AA25:AD25)</f>
        <v>1335.5704697986578</v>
      </c>
      <c r="AF25" s="31"/>
      <c r="AG25" s="31">
        <v>334.76510067114094</v>
      </c>
      <c r="AH25" s="31">
        <v>396.37583892617448</v>
      </c>
      <c r="AI25" s="31">
        <v>395.03355704697987</v>
      </c>
      <c r="AJ25" s="31">
        <v>414.49664429530202</v>
      </c>
      <c r="AK25" s="84">
        <f>SUM(AG25:AJ25)</f>
        <v>1540.6711409395973</v>
      </c>
      <c r="AL25" s="31"/>
      <c r="AM25" s="31">
        <v>384.29530201342283</v>
      </c>
      <c r="AN25" s="31">
        <v>413.02013422818789</v>
      </c>
      <c r="AO25" s="31">
        <v>406.30872483221475</v>
      </c>
      <c r="AP25" s="31">
        <v>427.38255033557044</v>
      </c>
      <c r="AQ25" s="84">
        <f>SUM(AM25:AP25)</f>
        <v>1631.0067114093958</v>
      </c>
      <c r="AR25" s="31"/>
      <c r="AS25" s="31">
        <v>376.6442953020134</v>
      </c>
      <c r="AT25" s="31">
        <v>413.28859060402681</v>
      </c>
      <c r="AU25" s="31">
        <v>407.5167785234899</v>
      </c>
      <c r="AV25" s="31">
        <v>433.15436241610735</v>
      </c>
      <c r="AW25" s="84">
        <f>SUM(AS25:AV25)</f>
        <v>1630.6040268456372</v>
      </c>
      <c r="AX25" s="31"/>
      <c r="AY25" s="31">
        <v>383.75838926174498</v>
      </c>
      <c r="AZ25" s="31">
        <v>438.12080536912748</v>
      </c>
      <c r="BA25" s="31">
        <v>440.53691275167785</v>
      </c>
      <c r="BB25" s="31">
        <v>461.47651006711408</v>
      </c>
      <c r="BC25" s="84">
        <f>+'Segment Data'!BC16</f>
        <v>1723.8926174496644</v>
      </c>
      <c r="BD25" s="31"/>
      <c r="BE25" s="31">
        <v>426.71140939597313</v>
      </c>
      <c r="BF25" s="31">
        <v>447.91946308724829</v>
      </c>
      <c r="BG25" s="31">
        <v>440.40268456375838</v>
      </c>
      <c r="BH25" s="31">
        <v>454.09395973154363</v>
      </c>
      <c r="BI25" s="84">
        <f>SUM(BE25:BH25)</f>
        <v>1769.1275167785234</v>
      </c>
      <c r="BJ25" s="31"/>
      <c r="BK25" s="31">
        <v>466.44295302013421</v>
      </c>
      <c r="BL25" s="31">
        <v>494.49664429530202</v>
      </c>
      <c r="BM25" s="31">
        <v>438.65771812080538</v>
      </c>
      <c r="BN25" s="31">
        <f>+'Segment Data'!BN16</f>
        <v>469.6</v>
      </c>
      <c r="BO25" s="84">
        <f>SUM(BK25:BN25)</f>
        <v>1869.1973154362418</v>
      </c>
      <c r="BP25" s="31"/>
      <c r="BQ25" s="31">
        <f>+'Segment Data'!BQ16</f>
        <v>425.9</v>
      </c>
      <c r="BR25" s="31">
        <f>+'Segment Data'!BR16</f>
        <v>485.49999999999989</v>
      </c>
      <c r="BS25" s="31">
        <v>457.4</v>
      </c>
      <c r="BT25" s="31">
        <v>482.5</v>
      </c>
      <c r="BU25" s="84">
        <f>SUM(BQ25:BT25)</f>
        <v>1851.2999999999997</v>
      </c>
      <c r="BV25" s="31"/>
      <c r="BW25" s="31">
        <f>+'Segment Data'!BW16</f>
        <v>461.69999999999993</v>
      </c>
      <c r="BX25" s="31">
        <f>+'Segment Data'!BX16</f>
        <v>579.29999999999995</v>
      </c>
      <c r="BY25" s="31">
        <f>+'Segment Data'!BY16</f>
        <v>567.09999999999991</v>
      </c>
      <c r="BZ25" s="31">
        <f>+'Segment Data'!BZ16</f>
        <v>302</v>
      </c>
      <c r="CA25" s="84">
        <f>SUM(BW25:BZ25)</f>
        <v>1910.1</v>
      </c>
      <c r="CC25" s="31">
        <f>+'Segment Data'!CC16</f>
        <v>266.89999999999998</v>
      </c>
      <c r="CD25" s="31">
        <v>324</v>
      </c>
      <c r="CE25" s="31">
        <f>+'Segment Data'!CE16</f>
        <v>301.64</v>
      </c>
      <c r="CF25" s="31">
        <f>+'Segment Data'!CF16</f>
        <v>254.59999999999997</v>
      </c>
      <c r="CG25" s="84">
        <f>SUM(CC25:CF25)</f>
        <v>1147.1399999999999</v>
      </c>
      <c r="CI25" s="31">
        <f>+'Segment Data'!CI16</f>
        <v>219.9</v>
      </c>
      <c r="CJ25" s="31">
        <f>+'Segment Data'!CJ16</f>
        <v>262.59999999999997</v>
      </c>
      <c r="CK25" s="31">
        <f>+'Segment Data'!CK16</f>
        <v>249.1</v>
      </c>
      <c r="CL25" s="31">
        <f>+'Segment Data'!CL16</f>
        <v>287.59999999999997</v>
      </c>
      <c r="CM25" s="84">
        <f>SUM(CI25:CL25)</f>
        <v>1019.2</v>
      </c>
    </row>
    <row r="26" spans="1:91" x14ac:dyDescent="0.2">
      <c r="C26" s="31"/>
      <c r="D26" s="31"/>
      <c r="E26" s="31"/>
      <c r="F26" s="31"/>
      <c r="G26" s="75"/>
      <c r="H26" s="31"/>
      <c r="I26" s="31"/>
      <c r="J26" s="31"/>
      <c r="K26" s="31"/>
      <c r="L26" s="31"/>
      <c r="M26" s="75"/>
      <c r="N26" s="31"/>
      <c r="O26" s="31"/>
      <c r="P26" s="31"/>
      <c r="Q26" s="31"/>
      <c r="R26" s="31"/>
      <c r="S26" s="75"/>
      <c r="T26" s="31"/>
      <c r="U26" s="31"/>
      <c r="V26" s="31"/>
      <c r="W26" s="31"/>
      <c r="X26" s="31"/>
      <c r="Y26" s="75"/>
      <c r="Z26" s="31"/>
      <c r="AA26" s="31"/>
      <c r="AB26" s="31"/>
      <c r="AC26" s="31"/>
      <c r="AD26" s="31"/>
      <c r="AE26" s="75"/>
      <c r="AF26" s="31"/>
      <c r="AG26" s="31"/>
      <c r="AH26" s="31"/>
      <c r="AI26" s="31"/>
      <c r="AJ26" s="31"/>
      <c r="AK26" s="75"/>
      <c r="AL26" s="31"/>
      <c r="AM26" s="31"/>
      <c r="AN26" s="31"/>
      <c r="AO26" s="31"/>
      <c r="AP26" s="31"/>
      <c r="AQ26" s="75"/>
      <c r="AR26" s="31"/>
      <c r="AS26" s="31"/>
      <c r="AT26" s="31"/>
      <c r="AU26" s="31"/>
      <c r="AV26" s="31"/>
      <c r="AW26" s="75"/>
      <c r="AX26" s="31"/>
      <c r="AY26" s="31"/>
      <c r="AZ26" s="31"/>
      <c r="BA26" s="31"/>
      <c r="BB26" s="31"/>
      <c r="BC26" s="75"/>
      <c r="BD26" s="31"/>
      <c r="BE26" s="31"/>
      <c r="BF26" s="31"/>
      <c r="BG26" s="31"/>
      <c r="BH26" s="31"/>
      <c r="BI26" s="75"/>
      <c r="BJ26" s="31"/>
      <c r="BK26" s="31"/>
      <c r="BL26" s="31"/>
      <c r="BM26" s="31"/>
      <c r="BN26" s="31"/>
      <c r="BO26" s="75"/>
      <c r="BP26" s="31"/>
      <c r="BQ26" s="31"/>
      <c r="BR26" s="31"/>
      <c r="BS26" s="31"/>
      <c r="BT26" s="31"/>
      <c r="BU26" s="75"/>
      <c r="BV26" s="31"/>
      <c r="BW26" s="31"/>
      <c r="BX26" s="31"/>
      <c r="BY26" s="31"/>
      <c r="BZ26" s="31"/>
      <c r="CA26" s="75"/>
      <c r="CC26" s="31"/>
      <c r="CD26" s="31"/>
      <c r="CE26" s="31"/>
      <c r="CF26" s="31"/>
      <c r="CG26" s="75"/>
      <c r="CI26" s="31"/>
      <c r="CJ26" s="31"/>
      <c r="CK26" s="31"/>
      <c r="CL26" s="31"/>
      <c r="CM26" s="75"/>
    </row>
    <row r="27" spans="1:91" s="46" customFormat="1" x14ac:dyDescent="0.2">
      <c r="A27" s="43" t="s">
        <v>15</v>
      </c>
      <c r="C27" s="89"/>
      <c r="D27" s="89"/>
      <c r="E27" s="89"/>
      <c r="F27" s="89"/>
      <c r="G27" s="90"/>
      <c r="H27" s="91"/>
      <c r="I27" s="89"/>
      <c r="J27" s="89"/>
      <c r="K27" s="89"/>
      <c r="L27" s="89"/>
      <c r="M27" s="90"/>
      <c r="N27" s="91"/>
      <c r="O27" s="89"/>
      <c r="P27" s="89"/>
      <c r="Q27" s="89"/>
      <c r="R27" s="89"/>
      <c r="S27" s="90"/>
      <c r="T27" s="91"/>
      <c r="U27" s="89" t="s">
        <v>10</v>
      </c>
      <c r="V27" s="89" t="s">
        <v>11</v>
      </c>
      <c r="W27" s="89" t="s">
        <v>12</v>
      </c>
      <c r="X27" s="89" t="s">
        <v>13</v>
      </c>
      <c r="Y27" s="90"/>
      <c r="Z27" s="91"/>
      <c r="AA27" s="89" t="s">
        <v>10</v>
      </c>
      <c r="AB27" s="89" t="s">
        <v>11</v>
      </c>
      <c r="AC27" s="89" t="s">
        <v>12</v>
      </c>
      <c r="AD27" s="89" t="s">
        <v>13</v>
      </c>
      <c r="AE27" s="90"/>
      <c r="AF27" s="91"/>
      <c r="AG27" s="89" t="s">
        <v>10</v>
      </c>
      <c r="AH27" s="89" t="s">
        <v>11</v>
      </c>
      <c r="AI27" s="89" t="s">
        <v>12</v>
      </c>
      <c r="AJ27" s="89" t="s">
        <v>13</v>
      </c>
      <c r="AK27" s="90"/>
      <c r="AL27" s="91"/>
      <c r="AM27" s="89" t="s">
        <v>10</v>
      </c>
      <c r="AN27" s="89" t="s">
        <v>11</v>
      </c>
      <c r="AO27" s="89" t="s">
        <v>12</v>
      </c>
      <c r="AP27" s="89" t="s">
        <v>13</v>
      </c>
      <c r="AQ27" s="90"/>
      <c r="AR27" s="91"/>
      <c r="AS27" s="89" t="s">
        <v>10</v>
      </c>
      <c r="AT27" s="89" t="s">
        <v>11</v>
      </c>
      <c r="AU27" s="89" t="s">
        <v>12</v>
      </c>
      <c r="AV27" s="89" t="s">
        <v>13</v>
      </c>
      <c r="AW27" s="90"/>
      <c r="AX27" s="91"/>
      <c r="AY27" s="89" t="s">
        <v>10</v>
      </c>
      <c r="AZ27" s="89" t="s">
        <v>11</v>
      </c>
      <c r="BA27" s="89" t="s">
        <v>12</v>
      </c>
      <c r="BB27" s="89" t="s">
        <v>13</v>
      </c>
      <c r="BC27" s="90"/>
      <c r="BD27" s="91"/>
      <c r="BE27" s="89" t="s">
        <v>10</v>
      </c>
      <c r="BF27" s="89" t="s">
        <v>11</v>
      </c>
      <c r="BG27" s="89" t="s">
        <v>12</v>
      </c>
      <c r="BH27" s="89" t="s">
        <v>13</v>
      </c>
      <c r="BI27" s="90"/>
      <c r="BJ27" s="91"/>
      <c r="BK27" s="89" t="s">
        <v>10</v>
      </c>
      <c r="BL27" s="89" t="s">
        <v>11</v>
      </c>
      <c r="BM27" s="89" t="s">
        <v>12</v>
      </c>
      <c r="BN27" s="89" t="s">
        <v>13</v>
      </c>
      <c r="BO27" s="90"/>
      <c r="BP27" s="91"/>
      <c r="BQ27" s="89" t="s">
        <v>10</v>
      </c>
      <c r="BR27" s="89" t="s">
        <v>11</v>
      </c>
      <c r="BS27" s="89" t="s">
        <v>12</v>
      </c>
      <c r="BT27" s="89" t="s">
        <v>13</v>
      </c>
      <c r="BU27" s="90"/>
      <c r="BV27" s="91"/>
      <c r="BW27" s="89" t="s">
        <v>10</v>
      </c>
      <c r="BX27" s="89"/>
      <c r="BY27" s="89"/>
      <c r="BZ27" s="89"/>
      <c r="CA27" s="90"/>
      <c r="CC27" s="89" t="s">
        <v>10</v>
      </c>
      <c r="CD27" s="89"/>
      <c r="CE27" s="89"/>
      <c r="CF27" s="89"/>
      <c r="CG27" s="90"/>
      <c r="CI27" s="89" t="s">
        <v>10</v>
      </c>
      <c r="CJ27" s="89"/>
      <c r="CK27" s="89"/>
      <c r="CL27" s="89"/>
      <c r="CM27" s="90"/>
    </row>
    <row r="28" spans="1:91" x14ac:dyDescent="0.2">
      <c r="A28" s="2" t="s">
        <v>95</v>
      </c>
      <c r="C28" s="31">
        <v>65.771812080536918</v>
      </c>
      <c r="D28" s="31">
        <v>65.771812080536918</v>
      </c>
      <c r="E28" s="31">
        <v>65.771812080536918</v>
      </c>
      <c r="F28" s="31">
        <v>65.771812080536918</v>
      </c>
      <c r="G28" s="75"/>
      <c r="H28" s="31"/>
      <c r="I28" s="31">
        <v>65.771812080536918</v>
      </c>
      <c r="J28" s="31">
        <v>63.087248322147651</v>
      </c>
      <c r="K28" s="31">
        <v>63.087248322147651</v>
      </c>
      <c r="L28" s="31">
        <v>63.087248322147651</v>
      </c>
      <c r="M28" s="75"/>
      <c r="N28" s="31"/>
      <c r="O28" s="31">
        <v>63.221476510067113</v>
      </c>
      <c r="P28" s="31">
        <v>63.489932885906036</v>
      </c>
      <c r="Q28" s="31">
        <v>63.489932885906036</v>
      </c>
      <c r="R28" s="31">
        <v>63.489932885906036</v>
      </c>
      <c r="S28" s="75"/>
      <c r="T28" s="31"/>
      <c r="U28" s="31">
        <v>63.489932885906036</v>
      </c>
      <c r="V28" s="31">
        <v>63.624161073825505</v>
      </c>
      <c r="W28" s="31">
        <v>63.624161073825505</v>
      </c>
      <c r="X28" s="31">
        <v>63.624161073825505</v>
      </c>
      <c r="Y28" s="75"/>
      <c r="Z28" s="31"/>
      <c r="AA28" s="31">
        <v>63.624161073825505</v>
      </c>
      <c r="AB28" s="31">
        <v>63.624161073825505</v>
      </c>
      <c r="AC28" s="31">
        <v>63.624161073825505</v>
      </c>
      <c r="AD28" s="31">
        <v>63.624161073825505</v>
      </c>
      <c r="AE28" s="75"/>
      <c r="AF28" s="31"/>
      <c r="AG28" s="31">
        <v>63.624161073825505</v>
      </c>
      <c r="AH28" s="31">
        <v>63.758389261744966</v>
      </c>
      <c r="AI28" s="31">
        <v>63.758389261744966</v>
      </c>
      <c r="AJ28" s="31">
        <v>63.758389261744966</v>
      </c>
      <c r="AK28" s="75"/>
      <c r="AL28" s="31"/>
      <c r="AM28" s="31">
        <v>63.758389261744966</v>
      </c>
      <c r="AN28" s="31">
        <v>63.758389261744966</v>
      </c>
      <c r="AO28" s="31">
        <v>63.758389261744966</v>
      </c>
      <c r="AP28" s="31">
        <v>63.758389261744966</v>
      </c>
      <c r="AQ28" s="75"/>
      <c r="AR28" s="31"/>
      <c r="AS28" s="31">
        <v>64.161073825503351</v>
      </c>
      <c r="AT28" s="31">
        <v>64.161073825503351</v>
      </c>
      <c r="AU28" s="31">
        <v>64.161073825503351</v>
      </c>
      <c r="AV28" s="31">
        <v>64.161073825503351</v>
      </c>
      <c r="AW28" s="75"/>
      <c r="AX28" s="31"/>
      <c r="AY28" s="31">
        <v>64.295302013422813</v>
      </c>
      <c r="AZ28" s="31">
        <v>64.295302013422813</v>
      </c>
      <c r="BA28" s="31">
        <v>64.295302013422813</v>
      </c>
      <c r="BB28" s="31">
        <v>64.295302013422813</v>
      </c>
      <c r="BC28" s="75"/>
      <c r="BD28" s="31"/>
      <c r="BE28" s="31">
        <v>64.295302013422813</v>
      </c>
      <c r="BF28" s="31">
        <v>64.295302013422813</v>
      </c>
      <c r="BG28" s="31">
        <v>64.295302013422813</v>
      </c>
      <c r="BH28" s="31">
        <v>64.295302013422813</v>
      </c>
      <c r="BI28" s="75"/>
      <c r="BJ28" s="31"/>
      <c r="BK28" s="31">
        <v>64.900000000000006</v>
      </c>
      <c r="BL28" s="31">
        <v>64.900000000000006</v>
      </c>
      <c r="BM28" s="31">
        <v>64.900000000000006</v>
      </c>
      <c r="BN28" s="31">
        <v>64.900000000000006</v>
      </c>
      <c r="BO28" s="75"/>
      <c r="BP28" s="31"/>
      <c r="BQ28" s="31">
        <v>65.400000000000006</v>
      </c>
      <c r="BR28" s="31">
        <v>65.400000000000006</v>
      </c>
      <c r="BS28" s="31">
        <v>65.5</v>
      </c>
      <c r="BT28" s="31">
        <v>72</v>
      </c>
      <c r="BU28" s="75"/>
      <c r="BV28" s="31"/>
      <c r="BW28" s="31">
        <v>72.7</v>
      </c>
      <c r="BX28" s="31">
        <v>72.8</v>
      </c>
      <c r="BY28" s="31">
        <v>72.8</v>
      </c>
      <c r="BZ28" s="31">
        <v>72.8</v>
      </c>
      <c r="CA28" s="75"/>
      <c r="CC28" s="31">
        <v>72.8</v>
      </c>
      <c r="CD28" s="31">
        <v>72.8</v>
      </c>
      <c r="CE28" s="31">
        <v>72.8</v>
      </c>
      <c r="CF28" s="31">
        <v>72.8</v>
      </c>
      <c r="CG28" s="75"/>
      <c r="CI28" s="31">
        <v>72.8</v>
      </c>
      <c r="CJ28" s="31">
        <v>72.8</v>
      </c>
      <c r="CK28" s="31">
        <v>72.8</v>
      </c>
      <c r="CL28" s="31">
        <v>73.2</v>
      </c>
      <c r="CM28" s="75"/>
    </row>
    <row r="29" spans="1:91" x14ac:dyDescent="0.2">
      <c r="A29" s="2" t="s">
        <v>96</v>
      </c>
      <c r="C29" s="31">
        <v>368.05369127516775</v>
      </c>
      <c r="D29" s="31">
        <v>362.81879194630869</v>
      </c>
      <c r="E29" s="31">
        <v>345.36912751677852</v>
      </c>
      <c r="F29" s="31">
        <v>358.65771812080538</v>
      </c>
      <c r="G29" s="75"/>
      <c r="H29" s="31"/>
      <c r="I29" s="31">
        <v>363.89261744966444</v>
      </c>
      <c r="J29" s="31">
        <v>339.06040268456377</v>
      </c>
      <c r="K29" s="31">
        <v>357.44966442953017</v>
      </c>
      <c r="L29" s="31">
        <v>374.09395973154363</v>
      </c>
      <c r="M29" s="75"/>
      <c r="N29" s="31"/>
      <c r="O29" s="31">
        <v>387.5167785234899</v>
      </c>
      <c r="P29" s="31">
        <v>382.14765100671138</v>
      </c>
      <c r="Q29" s="31">
        <v>397.31543624161071</v>
      </c>
      <c r="R29" s="31">
        <v>435.70469798657717</v>
      </c>
      <c r="S29" s="75"/>
      <c r="T29" s="31"/>
      <c r="U29" s="31">
        <v>447.91946308724829</v>
      </c>
      <c r="V29" s="31">
        <v>450.33557046979865</v>
      </c>
      <c r="W29" s="31">
        <v>482.95302013422815</v>
      </c>
      <c r="X29" s="31">
        <v>460</v>
      </c>
      <c r="Y29" s="75"/>
      <c r="Z29" s="31"/>
      <c r="AA29" s="31">
        <v>463.23489932885906</v>
      </c>
      <c r="AB29" s="31">
        <v>470.8724832214765</v>
      </c>
      <c r="AC29" s="31">
        <v>474.8993288590604</v>
      </c>
      <c r="AD29" s="31">
        <v>499.19463087248323</v>
      </c>
      <c r="AE29" s="75"/>
      <c r="AF29" s="31"/>
      <c r="AG29" s="31">
        <v>511.40939597315435</v>
      </c>
      <c r="AH29" s="31">
        <v>540.93959731543623</v>
      </c>
      <c r="AI29" s="31">
        <v>535.83892617449658</v>
      </c>
      <c r="AJ29" s="31">
        <v>551.00671140939596</v>
      </c>
      <c r="AK29" s="75"/>
      <c r="AL29" s="31"/>
      <c r="AM29" s="31">
        <v>535.43624161073819</v>
      </c>
      <c r="AN29" s="31">
        <v>534.63087248322142</v>
      </c>
      <c r="AO29" s="31">
        <v>536.91275167785238</v>
      </c>
      <c r="AP29" s="31">
        <v>544.96644295302008</v>
      </c>
      <c r="AQ29" s="75"/>
      <c r="AR29" s="31"/>
      <c r="AS29" s="31">
        <v>552.48322147651004</v>
      </c>
      <c r="AT29" s="31">
        <v>745.234899328859</v>
      </c>
      <c r="AU29" s="31">
        <v>758.38926174496646</v>
      </c>
      <c r="AV29" s="31">
        <v>769.1275167785235</v>
      </c>
      <c r="AW29" s="75"/>
      <c r="AX29" s="31"/>
      <c r="AY29" s="31">
        <v>747.78523489932888</v>
      </c>
      <c r="AZ29" s="31">
        <v>752.08053691275165</v>
      </c>
      <c r="BA29" s="31">
        <f>(+'Balance Sheet'!AS22)/7.45</f>
        <v>101.09454529075266</v>
      </c>
      <c r="BB29" s="31">
        <v>760.67114093959731</v>
      </c>
      <c r="BC29" s="75"/>
      <c r="BD29" s="31"/>
      <c r="BE29" s="31">
        <f>(+'Balance Sheet'!AV22)/7.45</f>
        <v>100.89635601999909</v>
      </c>
      <c r="BF29" s="31">
        <f>(+'Balance Sheet'!AW22)/7.45</f>
        <v>102.42781856673122</v>
      </c>
      <c r="BG29" s="31">
        <f>(+'Balance Sheet'!AX22)/7.45</f>
        <v>106.53574163325976</v>
      </c>
      <c r="BH29" s="31">
        <f>(+'Balance Sheet'!AY22)/7.45</f>
        <v>107.54470519345975</v>
      </c>
      <c r="BI29" s="75"/>
      <c r="BJ29" s="31"/>
      <c r="BK29" s="31">
        <v>846.97986577181211</v>
      </c>
      <c r="BL29" s="31">
        <v>802.55033557046977</v>
      </c>
      <c r="BM29" s="31">
        <v>798.79194630872485</v>
      </c>
      <c r="BN29" s="31">
        <v>808.6</v>
      </c>
      <c r="BO29" s="75"/>
      <c r="BP29" s="31"/>
      <c r="BQ29" s="31">
        <v>802.1</v>
      </c>
      <c r="BR29" s="31">
        <v>801.7</v>
      </c>
      <c r="BS29" s="31">
        <v>760.2</v>
      </c>
      <c r="BT29" s="31">
        <v>951.4</v>
      </c>
      <c r="BU29" s="75"/>
      <c r="BV29" s="31"/>
      <c r="BW29" s="31">
        <v>971.5</v>
      </c>
      <c r="BX29" s="31">
        <v>982.2</v>
      </c>
      <c r="BY29" s="85">
        <f>+'Balance Sheet'!BM22</f>
        <v>993.3</v>
      </c>
      <c r="BZ29" s="85">
        <f>+'Balance Sheet'!BN22</f>
        <v>816.3</v>
      </c>
      <c r="CA29" s="75"/>
      <c r="CC29" s="31">
        <v>774.9</v>
      </c>
      <c r="CD29" s="31">
        <v>767.2</v>
      </c>
      <c r="CE29" s="85">
        <v>774.5</v>
      </c>
      <c r="CF29" s="85">
        <f>745.6-2.4</f>
        <v>743.2</v>
      </c>
      <c r="CG29" s="75"/>
      <c r="CI29" s="31">
        <v>713.8</v>
      </c>
      <c r="CJ29" s="31">
        <v>687.7</v>
      </c>
      <c r="CK29" s="85">
        <v>656</v>
      </c>
      <c r="CL29" s="85">
        <v>651.4</v>
      </c>
      <c r="CM29" s="75"/>
    </row>
    <row r="30" spans="1:91" x14ac:dyDescent="0.2">
      <c r="A30" s="2" t="s">
        <v>186</v>
      </c>
      <c r="C30" s="31"/>
      <c r="D30" s="31"/>
      <c r="E30" s="31"/>
      <c r="F30" s="31"/>
      <c r="G30" s="75"/>
      <c r="H30" s="31"/>
      <c r="I30" s="31"/>
      <c r="J30" s="31"/>
      <c r="K30" s="31"/>
      <c r="L30" s="31"/>
      <c r="M30" s="75"/>
      <c r="N30" s="31"/>
      <c r="O30" s="31"/>
      <c r="P30" s="31"/>
      <c r="Q30" s="31"/>
      <c r="R30" s="31"/>
      <c r="S30" s="75"/>
      <c r="T30" s="31"/>
      <c r="U30" s="31"/>
      <c r="V30" s="31"/>
      <c r="W30" s="31"/>
      <c r="X30" s="31"/>
      <c r="Y30" s="75"/>
      <c r="Z30" s="31"/>
      <c r="AA30" s="31"/>
      <c r="AB30" s="31"/>
      <c r="AC30" s="31"/>
      <c r="AD30" s="31"/>
      <c r="AE30" s="75"/>
      <c r="AF30" s="31"/>
      <c r="AG30" s="31"/>
      <c r="AH30" s="31"/>
      <c r="AI30" s="31"/>
      <c r="AJ30" s="31"/>
      <c r="AK30" s="75"/>
      <c r="AL30" s="31"/>
      <c r="AM30" s="31"/>
      <c r="AN30" s="31"/>
      <c r="AO30" s="31"/>
      <c r="AP30" s="31"/>
      <c r="AQ30" s="75"/>
      <c r="AR30" s="31"/>
      <c r="AS30" s="31"/>
      <c r="AT30" s="31"/>
      <c r="AU30" s="31"/>
      <c r="AV30" s="31"/>
      <c r="AW30" s="75"/>
      <c r="AX30" s="31"/>
      <c r="AY30" s="31"/>
      <c r="AZ30" s="31"/>
      <c r="BA30" s="31"/>
      <c r="BB30" s="31"/>
      <c r="BC30" s="75"/>
      <c r="BD30" s="31"/>
      <c r="BE30" s="31"/>
      <c r="BF30" s="31"/>
      <c r="BG30" s="31"/>
      <c r="BH30" s="31"/>
      <c r="BI30" s="75"/>
      <c r="BJ30" s="31"/>
      <c r="BK30" s="31"/>
      <c r="BL30" s="31"/>
      <c r="BM30" s="31"/>
      <c r="BN30" s="31"/>
      <c r="BO30" s="75"/>
      <c r="BP30" s="31"/>
      <c r="BQ30" s="31"/>
      <c r="BR30" s="31"/>
      <c r="BS30" s="31"/>
      <c r="BT30" s="31"/>
      <c r="BU30" s="75"/>
      <c r="BV30" s="31"/>
      <c r="BW30" s="31"/>
      <c r="BX30" s="31"/>
      <c r="BY30" s="85"/>
      <c r="BZ30" s="85"/>
      <c r="CA30" s="75"/>
      <c r="CC30" s="31"/>
      <c r="CD30" s="31"/>
      <c r="CE30" s="85">
        <v>150</v>
      </c>
      <c r="CF30" s="85">
        <f>150+2.4</f>
        <v>152.4</v>
      </c>
      <c r="CG30" s="75"/>
      <c r="CI30" s="31">
        <v>154.4</v>
      </c>
      <c r="CJ30" s="31">
        <v>156.4</v>
      </c>
      <c r="CK30" s="85">
        <v>150.30000000000001</v>
      </c>
      <c r="CL30" s="85">
        <v>152.4</v>
      </c>
      <c r="CM30" s="75"/>
    </row>
    <row r="31" spans="1:91" x14ac:dyDescent="0.2">
      <c r="A31" s="2" t="s">
        <v>24</v>
      </c>
      <c r="C31" s="31">
        <v>795.57046979865765</v>
      </c>
      <c r="D31" s="31">
        <v>810.20134228187919</v>
      </c>
      <c r="E31" s="31">
        <v>819.73154362416108</v>
      </c>
      <c r="F31" s="31">
        <v>829.1275167785235</v>
      </c>
      <c r="G31" s="75"/>
      <c r="H31" s="31"/>
      <c r="I31" s="31">
        <v>866.71140939597308</v>
      </c>
      <c r="J31" s="31">
        <v>928.32214765100673</v>
      </c>
      <c r="K31" s="31">
        <v>924.83221476510062</v>
      </c>
      <c r="L31" s="31">
        <v>986.57718120805362</v>
      </c>
      <c r="M31" s="75"/>
      <c r="N31" s="31"/>
      <c r="O31" s="31">
        <v>1072.4832214765102</v>
      </c>
      <c r="P31" s="31">
        <v>1152.7516778523491</v>
      </c>
      <c r="Q31" s="31">
        <v>1229.6644295302012</v>
      </c>
      <c r="R31" s="31">
        <v>1221.3422818791946</v>
      </c>
      <c r="S31" s="75"/>
      <c r="T31" s="31"/>
      <c r="U31" s="31">
        <v>1295.9731543624162</v>
      </c>
      <c r="V31" s="31">
        <v>1373.2885906040269</v>
      </c>
      <c r="W31" s="31">
        <v>1383.7583892617449</v>
      </c>
      <c r="X31" s="31">
        <v>1333.5570469798658</v>
      </c>
      <c r="Y31" s="75"/>
      <c r="Z31" s="31"/>
      <c r="AA31" s="31">
        <v>1306.6979865771812</v>
      </c>
      <c r="AB31" s="31">
        <v>1327.3825503355704</v>
      </c>
      <c r="AC31" s="31">
        <v>1354.765100671141</v>
      </c>
      <c r="AD31" s="31">
        <v>1358.9261744966443</v>
      </c>
      <c r="AE31" s="75"/>
      <c r="AF31" s="31"/>
      <c r="AG31" s="31">
        <v>1498.1208053691275</v>
      </c>
      <c r="AH31" s="31">
        <v>1628.724832214765</v>
      </c>
      <c r="AI31" s="31">
        <v>1658.1208053691275</v>
      </c>
      <c r="AJ31" s="31">
        <v>1685.3691275167785</v>
      </c>
      <c r="AK31" s="75"/>
      <c r="AL31" s="31"/>
      <c r="AM31" s="31">
        <v>1833.5570469798656</v>
      </c>
      <c r="AN31" s="31">
        <v>1816.1073825503356</v>
      </c>
      <c r="AO31" s="31">
        <v>1826.4429530201342</v>
      </c>
      <c r="AP31" s="31">
        <v>1803.8926174496644</v>
      </c>
      <c r="AQ31" s="75"/>
      <c r="AR31" s="31"/>
      <c r="AS31" s="31">
        <v>1848.4563758389261</v>
      </c>
      <c r="AT31" s="31">
        <v>1796.6442953020135</v>
      </c>
      <c r="AU31" s="31">
        <v>1772.8859060402683</v>
      </c>
      <c r="AV31" s="31">
        <v>1736.3758389261745</v>
      </c>
      <c r="AW31" s="75"/>
      <c r="AX31" s="31"/>
      <c r="AY31" s="31">
        <v>1833.6912751677851</v>
      </c>
      <c r="AZ31" s="31">
        <v>1804.6979865771812</v>
      </c>
      <c r="BA31" s="31">
        <f>(+'Balance Sheet'!AS33)/7.45</f>
        <v>243.84487185261926</v>
      </c>
      <c r="BB31" s="31">
        <v>1744.2953020134228</v>
      </c>
      <c r="BC31" s="75"/>
      <c r="BD31" s="31"/>
      <c r="BE31" s="31">
        <f>(+'Balance Sheet'!AV33)/7.45</f>
        <v>236.71005810549073</v>
      </c>
      <c r="BF31" s="31">
        <f>(+'Balance Sheet'!AW33)/7.45</f>
        <v>235.14256114589432</v>
      </c>
      <c r="BG31" s="31">
        <f>(+'Balance Sheet'!AX33)/7.45</f>
        <v>242.00711679654069</v>
      </c>
      <c r="BH31" s="31">
        <f>(+'Balance Sheet'!AY33)/7.45</f>
        <v>222.29629295977659</v>
      </c>
      <c r="BI31" s="75"/>
      <c r="BJ31" s="31"/>
      <c r="BK31" s="31">
        <f>(+'Balance Sheet'!BA19)/7.45</f>
        <v>248.51132831854417</v>
      </c>
      <c r="BL31" s="31">
        <v>1860.6711409395973</v>
      </c>
      <c r="BM31" s="31">
        <v>1735.8389261744967</v>
      </c>
      <c r="BN31" s="31">
        <v>1683.6</v>
      </c>
      <c r="BO31" s="75"/>
      <c r="BP31" s="31"/>
      <c r="BQ31" s="31">
        <f>+'Balance Sheet'!BF19</f>
        <v>1736.4</v>
      </c>
      <c r="BR31" s="31">
        <v>1787.2</v>
      </c>
      <c r="BS31" s="31">
        <v>1728.6</v>
      </c>
      <c r="BT31" s="31">
        <v>1747.1</v>
      </c>
      <c r="BU31" s="75"/>
      <c r="BV31" s="31"/>
      <c r="BW31" s="31">
        <f>+'Balance Sheet'!BK19</f>
        <v>2682.4</v>
      </c>
      <c r="BX31" s="31">
        <v>2809</v>
      </c>
      <c r="BY31" s="31">
        <f>+'Balance Sheet'!BM19</f>
        <v>2785.5</v>
      </c>
      <c r="BZ31" s="31">
        <f>+'Balance Sheet'!BN19</f>
        <v>1904.6000000000001</v>
      </c>
      <c r="CA31" s="75"/>
      <c r="CC31" s="31">
        <f>+'Balance Sheet'!BP19</f>
        <v>1923.3000000000002</v>
      </c>
      <c r="CD31" s="85">
        <v>1926.4</v>
      </c>
      <c r="CE31" s="31">
        <f>+'Balance Sheet'!BR19</f>
        <v>1938</v>
      </c>
      <c r="CF31" s="31">
        <f>+'Balance Sheet'!BS19</f>
        <v>1859.2000000000003</v>
      </c>
      <c r="CG31" s="75"/>
      <c r="CI31" s="31">
        <f>+'Balance Sheet'!BU19</f>
        <v>1867.8</v>
      </c>
      <c r="CJ31" s="85">
        <f>+'Balance Sheet'!BV19</f>
        <v>1895.8999999999999</v>
      </c>
      <c r="CK31" s="31">
        <v>1886.3</v>
      </c>
      <c r="CL31" s="31">
        <v>1789.4</v>
      </c>
      <c r="CM31" s="75"/>
    </row>
    <row r="32" spans="1:91" x14ac:dyDescent="0.2">
      <c r="A32" s="2" t="s">
        <v>135</v>
      </c>
      <c r="C32" s="31">
        <v>-45.234899328859058</v>
      </c>
      <c r="D32" s="31">
        <v>-75.033557046979865</v>
      </c>
      <c r="E32" s="31">
        <v>-115.16778523489933</v>
      </c>
      <c r="F32" s="31">
        <v>-102.5503355704698</v>
      </c>
      <c r="G32" s="75"/>
      <c r="H32" s="31"/>
      <c r="I32" s="31">
        <v>-157.85234899328859</v>
      </c>
      <c r="J32" s="31">
        <v>-163.89261744966441</v>
      </c>
      <c r="K32" s="31">
        <v>-156.77852348993289</v>
      </c>
      <c r="L32" s="31">
        <v>-137.31543624161074</v>
      </c>
      <c r="M32" s="75"/>
      <c r="N32" s="31"/>
      <c r="O32" s="31">
        <v>-266.71140939597313</v>
      </c>
      <c r="P32" s="31">
        <v>-311.27516778523488</v>
      </c>
      <c r="Q32" s="31">
        <v>-309.53020134228188</v>
      </c>
      <c r="R32" s="31">
        <v>-267.78523489932883</v>
      </c>
      <c r="S32" s="75"/>
      <c r="T32" s="31"/>
      <c r="U32" s="31">
        <v>-297.31543624161071</v>
      </c>
      <c r="V32" s="31">
        <v>-379.19463087248323</v>
      </c>
      <c r="W32" s="31">
        <v>-378.65771812080538</v>
      </c>
      <c r="X32" s="31">
        <v>-303.3557046979866</v>
      </c>
      <c r="Y32" s="75"/>
      <c r="Z32" s="31"/>
      <c r="AA32" s="31">
        <v>-306.4832214765101</v>
      </c>
      <c r="AB32" s="31">
        <v>-347.24832214765098</v>
      </c>
      <c r="AC32" s="31">
        <v>-359.86577181208054</v>
      </c>
      <c r="AD32" s="31">
        <v>-365.7718120805369</v>
      </c>
      <c r="AE32" s="75"/>
      <c r="AF32" s="31"/>
      <c r="AG32" s="31">
        <v>-455.57046979865771</v>
      </c>
      <c r="AH32" s="31">
        <v>-508.72483221476512</v>
      </c>
      <c r="AI32" s="31">
        <v>-556.24161073825508</v>
      </c>
      <c r="AJ32" s="31">
        <v>-551.00671140939596</v>
      </c>
      <c r="AK32" s="75"/>
      <c r="AL32" s="31"/>
      <c r="AM32" s="31">
        <v>-647.11409395973158</v>
      </c>
      <c r="AN32" s="31">
        <v>-663.08724832214762</v>
      </c>
      <c r="AO32" s="31">
        <v>-640.40268456375838</v>
      </c>
      <c r="AP32" s="31">
        <f>(-4429)/7.45</f>
        <v>-594.49664429530196</v>
      </c>
      <c r="AQ32" s="75"/>
      <c r="AR32" s="31"/>
      <c r="AS32" s="31">
        <v>-602.81879194630869</v>
      </c>
      <c r="AT32" s="31">
        <v>-361.34228187919462</v>
      </c>
      <c r="AU32" s="31">
        <v>-369.26174496644296</v>
      </c>
      <c r="AV32" s="31">
        <v>-256.24161073825502</v>
      </c>
      <c r="AW32" s="75"/>
      <c r="AX32" s="31"/>
      <c r="AY32" s="31">
        <v>-372.6174496644295</v>
      </c>
      <c r="AZ32" s="31">
        <v>-381.07382550335569</v>
      </c>
      <c r="BA32" s="31">
        <v>-369.53020134228188</v>
      </c>
      <c r="BB32" s="31">
        <v>-283.3557046979866</v>
      </c>
      <c r="BC32" s="75"/>
      <c r="BD32" s="31"/>
      <c r="BE32" s="31">
        <v>-268.32214765100673</v>
      </c>
      <c r="BF32" s="31">
        <v>-269.53020134228188</v>
      </c>
      <c r="BG32" s="31">
        <v>-284.42953020134229</v>
      </c>
      <c r="BH32" s="31">
        <v>-152.34899328859061</v>
      </c>
      <c r="BI32" s="75"/>
      <c r="BJ32" s="31"/>
      <c r="BK32" s="31">
        <v>-177.4496644295302</v>
      </c>
      <c r="BL32" s="31">
        <v>-193.02013422818791</v>
      </c>
      <c r="BM32" s="31">
        <v>-167.51677852348993</v>
      </c>
      <c r="BN32" s="31">
        <v>-88.9</v>
      </c>
      <c r="BO32" s="75"/>
      <c r="BP32" s="31"/>
      <c r="BQ32" s="31">
        <v>-158.9</v>
      </c>
      <c r="BR32" s="31">
        <v>-188.2</v>
      </c>
      <c r="BS32" s="31">
        <v>-174.6</v>
      </c>
      <c r="BT32" s="31">
        <v>68.400000000000006</v>
      </c>
      <c r="BU32" s="75"/>
      <c r="BV32" s="31"/>
      <c r="BW32" s="31">
        <v>-616.79999999999995</v>
      </c>
      <c r="BX32" s="31">
        <v>-742.3</v>
      </c>
      <c r="BY32" s="31">
        <v>-720.1</v>
      </c>
      <c r="BZ32" s="31">
        <v>-293.2</v>
      </c>
      <c r="CA32" s="75"/>
      <c r="CB32" s="201"/>
      <c r="CC32" s="31">
        <v>-432.7</v>
      </c>
      <c r="CD32" s="31">
        <v>-409.5</v>
      </c>
      <c r="CE32" s="31">
        <v>-307.5</v>
      </c>
      <c r="CF32" s="31">
        <v>-248.3</v>
      </c>
      <c r="CG32" s="75"/>
      <c r="CH32" s="201"/>
      <c r="CI32" s="31">
        <v>-339</v>
      </c>
      <c r="CJ32" s="31">
        <v>-336.1</v>
      </c>
      <c r="CK32" s="31">
        <v>-349.9</v>
      </c>
      <c r="CL32" s="31">
        <v>-242.2</v>
      </c>
      <c r="CM32" s="75"/>
    </row>
    <row r="33" spans="1:92" x14ac:dyDescent="0.2">
      <c r="A33" s="2" t="s">
        <v>33</v>
      </c>
      <c r="C33" s="31">
        <v>421.07382550335569</v>
      </c>
      <c r="D33" s="31">
        <v>445.7718120805369</v>
      </c>
      <c r="E33" s="31">
        <v>468.99328859060404</v>
      </c>
      <c r="F33" s="31">
        <v>469.66442953020135</v>
      </c>
      <c r="G33" s="75"/>
      <c r="H33" s="31"/>
      <c r="I33" s="31">
        <v>530.33557046979865</v>
      </c>
      <c r="J33" s="31">
        <v>512.48322147651004</v>
      </c>
      <c r="K33" s="31">
        <v>516.10738255033561</v>
      </c>
      <c r="L33" s="31">
        <v>513.95973154362412</v>
      </c>
      <c r="M33" s="75"/>
      <c r="N33" s="31"/>
      <c r="O33" s="31">
        <v>656.91275167785238</v>
      </c>
      <c r="P33" s="31">
        <v>696.77852348993292</v>
      </c>
      <c r="Q33" s="31">
        <v>710.73825503355704</v>
      </c>
      <c r="R33" s="31">
        <v>671.81208053691273</v>
      </c>
      <c r="S33" s="75"/>
      <c r="T33" s="31"/>
      <c r="U33" s="31">
        <v>750.46979865771812</v>
      </c>
      <c r="V33" s="31">
        <v>835.16778523489927</v>
      </c>
      <c r="W33" s="31">
        <v>867.78523489932888</v>
      </c>
      <c r="X33" s="31">
        <v>768.45637583892619</v>
      </c>
      <c r="Y33" s="75"/>
      <c r="Z33" s="31"/>
      <c r="AA33" s="31">
        <v>774.01342281879192</v>
      </c>
      <c r="AB33" s="31">
        <v>822.68456375838923</v>
      </c>
      <c r="AC33" s="31">
        <v>840.26845637583892</v>
      </c>
      <c r="AD33" s="31">
        <v>867.78523489932888</v>
      </c>
      <c r="AE33" s="75"/>
      <c r="AF33" s="31"/>
      <c r="AG33" s="31">
        <v>969.93288590604027</v>
      </c>
      <c r="AH33" s="31">
        <v>1052.7516778523491</v>
      </c>
      <c r="AI33" s="31">
        <v>1093.020134228188</v>
      </c>
      <c r="AJ33" s="31">
        <v>1103.0872483221476</v>
      </c>
      <c r="AK33" s="75"/>
      <c r="AL33" s="31"/>
      <c r="AM33" s="31">
        <f>(+'Segment Data'!AM78)/7.45</f>
        <v>158.80365749290573</v>
      </c>
      <c r="AN33" s="31">
        <f>(+'Segment Data'!AN78)/7.45</f>
        <v>160.85761902616997</v>
      </c>
      <c r="AO33" s="31">
        <f>(+'Segment Data'!AO78)/7.45</f>
        <v>158.13702085491641</v>
      </c>
      <c r="AP33" s="31">
        <f>(+'Segment Data'!AP78)/7.45</f>
        <v>153.07418584748433</v>
      </c>
      <c r="AQ33" s="75"/>
      <c r="AR33" s="31"/>
      <c r="AS33" s="31">
        <f>(+'Segment Data'!AS78)/7.45</f>
        <v>156.04702490878788</v>
      </c>
      <c r="AT33" s="31">
        <v>1107.3825503355704</v>
      </c>
      <c r="AU33" s="31">
        <v>1128.5906040268455</v>
      </c>
      <c r="AV33" s="31">
        <v>1026.3087248322147</v>
      </c>
      <c r="AW33" s="75"/>
      <c r="AX33" s="31"/>
      <c r="AY33" s="31">
        <f>(+'Segment Data'!AY78)</f>
        <v>1121.4765100671141</v>
      </c>
      <c r="AZ33" s="31">
        <f>(+'Segment Data'!AZ78)</f>
        <v>1134.0939597315437</v>
      </c>
      <c r="BA33" s="31">
        <f>(+'Segment Data'!BA78)</f>
        <v>1123.6241610738255</v>
      </c>
      <c r="BB33" s="31">
        <v>1044.9664429530201</v>
      </c>
      <c r="BC33" s="75"/>
      <c r="BD33" s="31"/>
      <c r="BE33" s="31">
        <f>(+'Segment Data'!BE78)</f>
        <v>1020.8053691275167</v>
      </c>
      <c r="BF33" s="31">
        <f>(+'Segment Data'!BF78)</f>
        <v>1033.4228187919464</v>
      </c>
      <c r="BG33" s="31">
        <f>(+'Segment Data'!BG78)</f>
        <v>1078.9261744966443</v>
      </c>
      <c r="BH33" s="31">
        <f>(+'Segment Data'!BH78)</f>
        <v>954.36241610738261</v>
      </c>
      <c r="BI33" s="75"/>
      <c r="BJ33" s="31"/>
      <c r="BK33" s="31">
        <f>(+'Segment Data'!BK78)</f>
        <v>1025.234899328859</v>
      </c>
      <c r="BL33" s="31">
        <v>996.37583892617442</v>
      </c>
      <c r="BM33" s="31">
        <v>967.24832214765104</v>
      </c>
      <c r="BN33" s="31">
        <v>898.4</v>
      </c>
      <c r="BO33" s="75"/>
      <c r="BP33" s="31"/>
      <c r="BQ33" s="31">
        <f>(+'Segment Data'!BQ78)</f>
        <v>974.9</v>
      </c>
      <c r="BR33" s="31">
        <f>(+'Segment Data'!BR78)</f>
        <v>989.9</v>
      </c>
      <c r="BS33" s="31">
        <v>934.8</v>
      </c>
      <c r="BT33" s="31">
        <v>883</v>
      </c>
      <c r="BU33" s="75"/>
      <c r="BV33" s="31"/>
      <c r="BW33" s="31">
        <f>(+'Segment Data'!BW78)</f>
        <v>1588.3</v>
      </c>
      <c r="BX33" s="31">
        <v>1724.5</v>
      </c>
      <c r="BY33" s="31">
        <f>+'Segment Data'!BY78</f>
        <v>1713.4</v>
      </c>
      <c r="BZ33" s="31">
        <f>+'Segment Data'!BZ78</f>
        <v>1109.5000000000002</v>
      </c>
      <c r="CA33" s="75"/>
      <c r="CC33" s="31">
        <f>(+'Segment Data'!CC78)</f>
        <v>1207.5999999999999</v>
      </c>
      <c r="CD33" s="31">
        <f>(+'Segment Data'!CD78)</f>
        <v>1176.7</v>
      </c>
      <c r="CE33" s="31">
        <f>(+'Segment Data'!CE78)</f>
        <v>1232</v>
      </c>
      <c r="CF33" s="31">
        <f>(+'Segment Data'!CF78)</f>
        <v>1143.8999999999999</v>
      </c>
      <c r="CG33" s="75"/>
      <c r="CI33" s="31">
        <f>(+'Segment Data'!CI78)</f>
        <v>1207.2</v>
      </c>
      <c r="CJ33" s="31">
        <v>1180.2</v>
      </c>
      <c r="CK33" s="31">
        <f>(+'Segment Data'!CK78)</f>
        <v>1156.2</v>
      </c>
      <c r="CL33" s="31">
        <f>(+'Segment Data'!CL78)</f>
        <v>1046</v>
      </c>
      <c r="CM33" s="75"/>
    </row>
    <row r="34" spans="1:92" x14ac:dyDescent="0.2">
      <c r="C34" s="31"/>
      <c r="D34" s="31"/>
      <c r="E34" s="31"/>
      <c r="F34" s="31"/>
      <c r="G34" s="75"/>
      <c r="H34" s="31"/>
      <c r="I34" s="31"/>
      <c r="J34" s="31"/>
      <c r="K34" s="31"/>
      <c r="L34" s="31"/>
      <c r="M34" s="75"/>
      <c r="N34" s="31"/>
      <c r="O34" s="31"/>
      <c r="P34" s="31"/>
      <c r="Q34" s="31"/>
      <c r="R34" s="31"/>
      <c r="S34" s="75"/>
      <c r="T34" s="31"/>
      <c r="U34" s="31"/>
      <c r="V34" s="31"/>
      <c r="W34" s="31"/>
      <c r="X34" s="31"/>
      <c r="Y34" s="75"/>
      <c r="Z34" s="31"/>
      <c r="AA34" s="31"/>
      <c r="AB34" s="31"/>
      <c r="AC34" s="31"/>
      <c r="AD34" s="31"/>
      <c r="AE34" s="75"/>
      <c r="AF34" s="31"/>
      <c r="AG34" s="31"/>
      <c r="AH34" s="31"/>
      <c r="AI34" s="31"/>
      <c r="AJ34" s="31"/>
      <c r="AK34" s="75"/>
      <c r="AL34" s="31"/>
      <c r="AM34" s="31"/>
      <c r="AN34" s="31"/>
      <c r="AO34" s="31"/>
      <c r="AP34" s="31"/>
      <c r="AQ34" s="75"/>
      <c r="AR34" s="31"/>
      <c r="AS34" s="31"/>
      <c r="AT34" s="31"/>
      <c r="AU34" s="31"/>
      <c r="AV34" s="31"/>
      <c r="AW34" s="75"/>
      <c r="AX34" s="31"/>
      <c r="AY34" s="31"/>
      <c r="AZ34" s="31"/>
      <c r="BA34" s="31"/>
      <c r="BB34" s="31"/>
      <c r="BC34" s="75"/>
      <c r="BD34" s="31"/>
      <c r="BE34" s="31"/>
      <c r="BF34" s="31"/>
      <c r="BG34" s="31"/>
      <c r="BH34" s="31"/>
      <c r="BI34" s="75"/>
      <c r="BJ34" s="31"/>
      <c r="BK34" s="31"/>
      <c r="BL34" s="31"/>
      <c r="BM34" s="31"/>
      <c r="BN34" s="31"/>
      <c r="BO34" s="75"/>
      <c r="BP34" s="31"/>
      <c r="BQ34" s="31"/>
      <c r="BR34" s="31"/>
      <c r="BS34" s="31"/>
      <c r="BT34" s="31"/>
      <c r="BU34" s="75"/>
      <c r="BV34" s="31"/>
      <c r="BW34" s="31"/>
      <c r="BX34" s="31"/>
      <c r="BY34" s="31"/>
      <c r="BZ34" s="31"/>
      <c r="CA34" s="75"/>
      <c r="CC34" s="31"/>
      <c r="CD34" s="31"/>
      <c r="CE34" s="31"/>
      <c r="CF34" s="31"/>
      <c r="CG34" s="75"/>
      <c r="CI34" s="31"/>
      <c r="CJ34" s="31"/>
      <c r="CK34" s="31"/>
      <c r="CL34" s="31"/>
      <c r="CM34" s="75"/>
    </row>
    <row r="35" spans="1:92" s="45" customFormat="1" x14ac:dyDescent="0.2">
      <c r="A35" s="43" t="s">
        <v>45</v>
      </c>
      <c r="C35" s="89"/>
      <c r="D35" s="89"/>
      <c r="E35" s="89"/>
      <c r="F35" s="89"/>
      <c r="G35" s="90"/>
      <c r="H35" s="92"/>
      <c r="I35" s="89"/>
      <c r="J35" s="89"/>
      <c r="K35" s="89"/>
      <c r="L35" s="89"/>
      <c r="M35" s="90"/>
      <c r="N35" s="92"/>
      <c r="O35" s="89"/>
      <c r="P35" s="89"/>
      <c r="Q35" s="89"/>
      <c r="R35" s="89"/>
      <c r="S35" s="90"/>
      <c r="T35" s="92"/>
      <c r="U35" s="89"/>
      <c r="V35" s="89"/>
      <c r="W35" s="89"/>
      <c r="X35" s="89"/>
      <c r="Y35" s="90"/>
      <c r="Z35" s="92"/>
      <c r="AA35" s="89"/>
      <c r="AB35" s="89"/>
      <c r="AC35" s="89"/>
      <c r="AD35" s="89"/>
      <c r="AE35" s="90"/>
      <c r="AF35" s="92"/>
      <c r="AG35" s="89"/>
      <c r="AH35" s="89"/>
      <c r="AI35" s="89"/>
      <c r="AJ35" s="89"/>
      <c r="AK35" s="90"/>
      <c r="AL35" s="92"/>
      <c r="AM35" s="89"/>
      <c r="AN35" s="89"/>
      <c r="AO35" s="89"/>
      <c r="AP35" s="89"/>
      <c r="AQ35" s="90"/>
      <c r="AR35" s="92"/>
      <c r="AS35" s="89"/>
      <c r="AT35" s="89"/>
      <c r="AU35" s="89"/>
      <c r="AV35" s="89"/>
      <c r="AW35" s="90"/>
      <c r="AX35" s="92"/>
      <c r="AY35" s="89"/>
      <c r="AZ35" s="89"/>
      <c r="BA35" s="89"/>
      <c r="BB35" s="89"/>
      <c r="BC35" s="90"/>
      <c r="BD35" s="92"/>
      <c r="BE35" s="89"/>
      <c r="BF35" s="89"/>
      <c r="BG35" s="89"/>
      <c r="BH35" s="89"/>
      <c r="BI35" s="90"/>
      <c r="BJ35" s="92"/>
      <c r="BK35" s="89"/>
      <c r="BL35" s="89"/>
      <c r="BM35" s="89"/>
      <c r="BN35" s="89"/>
      <c r="BO35" s="90"/>
      <c r="BP35" s="92"/>
      <c r="BQ35" s="89"/>
      <c r="BR35" s="89"/>
      <c r="BS35" s="89"/>
      <c r="BT35" s="89"/>
      <c r="BU35" s="90"/>
      <c r="BV35" s="92"/>
      <c r="BW35" s="89"/>
      <c r="BX35" s="89"/>
      <c r="BY35" s="89"/>
      <c r="BZ35" s="89"/>
      <c r="CA35" s="90"/>
      <c r="CC35" s="89"/>
      <c r="CD35" s="89"/>
      <c r="CE35" s="89"/>
      <c r="CF35" s="89"/>
      <c r="CG35" s="90"/>
      <c r="CI35" s="89"/>
      <c r="CJ35" s="89"/>
      <c r="CK35" s="89"/>
      <c r="CL35" s="89"/>
      <c r="CM35" s="90"/>
    </row>
    <row r="36" spans="1:92" ht="3.75" customHeight="1" x14ac:dyDescent="0.2">
      <c r="C36" s="31"/>
      <c r="D36" s="31"/>
      <c r="E36" s="31"/>
      <c r="F36" s="31"/>
      <c r="G36" s="75"/>
      <c r="H36" s="31"/>
      <c r="I36" s="31"/>
      <c r="J36" s="31"/>
      <c r="K36" s="31"/>
      <c r="L36" s="31"/>
      <c r="M36" s="75"/>
      <c r="N36" s="31"/>
      <c r="O36" s="31"/>
      <c r="P36" s="31"/>
      <c r="Q36" s="31"/>
      <c r="R36" s="31"/>
      <c r="S36" s="75"/>
      <c r="T36" s="31"/>
      <c r="U36" s="31"/>
      <c r="V36" s="31"/>
      <c r="W36" s="31"/>
      <c r="X36" s="31"/>
      <c r="Y36" s="75"/>
      <c r="Z36" s="31"/>
      <c r="AA36" s="31"/>
      <c r="AB36" s="31"/>
      <c r="AC36" s="31"/>
      <c r="AD36" s="31"/>
      <c r="AE36" s="75"/>
      <c r="AF36" s="31"/>
      <c r="AG36" s="31"/>
      <c r="AH36" s="31"/>
      <c r="AI36" s="31"/>
      <c r="AJ36" s="31"/>
      <c r="AK36" s="75"/>
      <c r="AL36" s="31"/>
      <c r="AM36" s="31"/>
      <c r="AN36" s="31"/>
      <c r="AO36" s="31"/>
      <c r="AP36" s="31"/>
      <c r="AQ36" s="75"/>
      <c r="AR36" s="31"/>
      <c r="AS36" s="31"/>
      <c r="AT36" s="31"/>
      <c r="AU36" s="31"/>
      <c r="AV36" s="31"/>
      <c r="AW36" s="75"/>
      <c r="AX36" s="31"/>
      <c r="AY36" s="31"/>
      <c r="AZ36" s="31"/>
      <c r="BA36" s="31"/>
      <c r="BB36" s="31"/>
      <c r="BC36" s="75"/>
      <c r="BD36" s="31"/>
      <c r="BE36" s="31"/>
      <c r="BF36" s="31"/>
      <c r="BG36" s="31"/>
      <c r="BH36" s="31"/>
      <c r="BI36" s="75"/>
      <c r="BJ36" s="31"/>
      <c r="BK36" s="31"/>
      <c r="BL36" s="31"/>
      <c r="BM36" s="31"/>
      <c r="BN36" s="31"/>
      <c r="BO36" s="75"/>
      <c r="BP36" s="31"/>
      <c r="BQ36" s="31"/>
      <c r="BR36" s="31"/>
      <c r="BS36" s="31"/>
      <c r="BT36" s="31"/>
      <c r="BU36" s="75"/>
      <c r="BV36" s="31"/>
      <c r="BW36" s="31"/>
      <c r="BX36" s="31"/>
      <c r="BY36" s="31"/>
      <c r="BZ36" s="31"/>
      <c r="CA36" s="75"/>
      <c r="CC36" s="31"/>
      <c r="CD36" s="31"/>
      <c r="CE36" s="31"/>
      <c r="CF36" s="31"/>
      <c r="CG36" s="75"/>
      <c r="CI36" s="31"/>
      <c r="CJ36" s="31"/>
      <c r="CK36" s="31"/>
      <c r="CL36" s="31"/>
      <c r="CM36" s="75"/>
    </row>
    <row r="37" spans="1:92" x14ac:dyDescent="0.2">
      <c r="A37" s="2" t="s">
        <v>58</v>
      </c>
      <c r="C37" s="31">
        <v>-25.234899328859061</v>
      </c>
      <c r="D37" s="31">
        <v>2.6845637583892619</v>
      </c>
      <c r="E37" s="31">
        <v>7.3825503355704694</v>
      </c>
      <c r="F37" s="31">
        <v>20.671140939597315</v>
      </c>
      <c r="G37" s="75">
        <f>SUM(C37:F37)</f>
        <v>5.5033557046979862</v>
      </c>
      <c r="H37" s="31"/>
      <c r="I37" s="31">
        <v>-28.993288590604028</v>
      </c>
      <c r="J37" s="31">
        <v>10.604026845637584</v>
      </c>
      <c r="K37" s="31">
        <v>24.966442953020135</v>
      </c>
      <c r="L37" s="31">
        <v>28.993288590604028</v>
      </c>
      <c r="M37" s="75">
        <f>SUM(I37:L37)</f>
        <v>35.570469798657719</v>
      </c>
      <c r="N37" s="31"/>
      <c r="O37" s="31">
        <v>6.7114093959731544</v>
      </c>
      <c r="P37" s="31">
        <v>18.791946308724832</v>
      </c>
      <c r="Q37" s="31">
        <v>57.04697986577181</v>
      </c>
      <c r="R37" s="31">
        <v>73.422818791946312</v>
      </c>
      <c r="S37" s="75">
        <f>SUM(O37:R37)</f>
        <v>155.9731543624161</v>
      </c>
      <c r="T37" s="31"/>
      <c r="U37" s="31">
        <v>-33.557046979865774</v>
      </c>
      <c r="V37" s="31">
        <v>-3.087248322147651</v>
      </c>
      <c r="W37" s="31">
        <v>24.026845637583893</v>
      </c>
      <c r="X37" s="85">
        <v>115.03355704697987</v>
      </c>
      <c r="Y37" s="75">
        <f>SUM(U37:X37)</f>
        <v>102.41610738255034</v>
      </c>
      <c r="Z37" s="31"/>
      <c r="AA37" s="85">
        <v>22.416107382550337</v>
      </c>
      <c r="AB37" s="31">
        <v>2.8187919463087248</v>
      </c>
      <c r="AC37" s="85">
        <v>27.248322147651006</v>
      </c>
      <c r="AD37" s="85">
        <v>25.63758389261745</v>
      </c>
      <c r="AE37" s="75">
        <f>SUM(AA37:AD37)</f>
        <v>78.12080536912751</v>
      </c>
      <c r="AF37" s="31"/>
      <c r="AG37" s="85">
        <v>-29.664429530201343</v>
      </c>
      <c r="AH37" s="85">
        <v>-35.302013422818789</v>
      </c>
      <c r="AI37" s="85">
        <v>-20.134228187919462</v>
      </c>
      <c r="AJ37" s="85">
        <v>34.899328859060404</v>
      </c>
      <c r="AK37" s="75">
        <f>SUM(AG37:AJ37)</f>
        <v>-50.201342281879192</v>
      </c>
      <c r="AL37" s="31"/>
      <c r="AM37" s="85">
        <v>-80.909868924823215</v>
      </c>
      <c r="AN37" s="85">
        <v>-7.651006711409396</v>
      </c>
      <c r="AO37" s="85">
        <v>29.617584793477771</v>
      </c>
      <c r="AP37" s="85">
        <v>49.822080086482586</v>
      </c>
      <c r="AQ37" s="75">
        <f>SUM(AM37:AP37)</f>
        <v>-9.121210756272248</v>
      </c>
      <c r="AR37" s="31"/>
      <c r="AS37" s="85">
        <v>3.6241610738255035</v>
      </c>
      <c r="AT37" s="85">
        <v>8.8590604026845643</v>
      </c>
      <c r="AU37" s="85">
        <v>4.0268456375838921</v>
      </c>
      <c r="AV37" s="85">
        <v>134.09395973154363</v>
      </c>
      <c r="AW37" s="75">
        <f>SUM(AS37:AV37)</f>
        <v>150.60402684563761</v>
      </c>
      <c r="AX37" s="31"/>
      <c r="AY37" s="85">
        <v>-69.932885906040269</v>
      </c>
      <c r="AZ37" s="85">
        <v>-1.3422818791946309</v>
      </c>
      <c r="BA37" s="85">
        <v>47.785234899328856</v>
      </c>
      <c r="BB37" s="85">
        <v>96.644295302013418</v>
      </c>
      <c r="BC37" s="75">
        <f>SUM(AY37:BB37)</f>
        <v>73.154362416107375</v>
      </c>
      <c r="BD37" s="31"/>
      <c r="BE37" s="85">
        <v>26.711409395973153</v>
      </c>
      <c r="BF37" s="85">
        <v>14.630872483221475</v>
      </c>
      <c r="BG37" s="85">
        <v>17.315436241610737</v>
      </c>
      <c r="BH37" s="85">
        <v>153.82550335570468</v>
      </c>
      <c r="BI37" s="75">
        <f>SUM(BE37:BH37)</f>
        <v>212.48322147651004</v>
      </c>
      <c r="BJ37" s="31"/>
      <c r="BK37" s="85">
        <v>12.751677852348992</v>
      </c>
      <c r="BL37" s="85">
        <v>5.3691275167785237</v>
      </c>
      <c r="BM37" s="85">
        <v>35.70469798657718</v>
      </c>
      <c r="BN37" s="85">
        <v>119.4</v>
      </c>
      <c r="BO37" s="75">
        <f>SUM(BK37:BN37)</f>
        <v>173.22550335570469</v>
      </c>
      <c r="BP37" s="31"/>
      <c r="BQ37" s="85">
        <f>+Cashflow!BQ11</f>
        <v>-9.0990000000000038</v>
      </c>
      <c r="BR37" s="85">
        <f>+Cashflow!BR11</f>
        <v>28.7</v>
      </c>
      <c r="BS37" s="85">
        <v>48.1</v>
      </c>
      <c r="BT37" s="85">
        <v>86.2</v>
      </c>
      <c r="BU37" s="75">
        <f>SUM(BQ37:BT37)</f>
        <v>153.90100000000001</v>
      </c>
      <c r="BV37" s="31"/>
      <c r="BW37" s="85">
        <f>+Cashflow!BW11</f>
        <v>-38.4</v>
      </c>
      <c r="BX37" s="85">
        <f>+Cashflow!BX11</f>
        <v>16.800000000000004</v>
      </c>
      <c r="BY37" s="85">
        <f>+Cashflow!BY11</f>
        <v>46.7</v>
      </c>
      <c r="BZ37" s="85">
        <f>+Cashflow!BZ11</f>
        <v>62.699999999999974</v>
      </c>
      <c r="CA37" s="75">
        <f>SUM(BW37:BZ37)</f>
        <v>87.799999999999983</v>
      </c>
      <c r="CC37" s="85">
        <f>+Cashflow!CC11</f>
        <v>-131.80000000000001</v>
      </c>
      <c r="CD37" s="85">
        <v>36.4</v>
      </c>
      <c r="CE37" s="85">
        <f>+Cashflow!CE11</f>
        <v>-34.799999999999997</v>
      </c>
      <c r="CF37" s="85">
        <f>130.2-42.2</f>
        <v>87.999999999999986</v>
      </c>
      <c r="CG37" s="75">
        <f>SUM(CC37:CF37)</f>
        <v>-42.2</v>
      </c>
      <c r="CI37" s="85">
        <f>+Cashflow!CI11</f>
        <v>-54.599999999999994</v>
      </c>
      <c r="CJ37" s="85">
        <f>+Cashflow!CJ11</f>
        <v>23.1</v>
      </c>
      <c r="CK37" s="85">
        <v>11</v>
      </c>
      <c r="CL37" s="85">
        <v>145.5</v>
      </c>
      <c r="CM37" s="75">
        <f>SUM(CI37:CL37)</f>
        <v>125</v>
      </c>
      <c r="CN37" s="201"/>
    </row>
    <row r="38" spans="1:92" x14ac:dyDescent="0.2">
      <c r="A38" s="2" t="s">
        <v>59</v>
      </c>
      <c r="C38" s="31">
        <v>-3.7583892617449663</v>
      </c>
      <c r="D38" s="31">
        <v>-2.0134228187919461</v>
      </c>
      <c r="E38" s="31">
        <v>-7.5167785234899327</v>
      </c>
      <c r="F38" s="31">
        <v>-0.80536912751677847</v>
      </c>
      <c r="G38" s="75">
        <f>SUM(C38:F38)</f>
        <v>-14.093959731543624</v>
      </c>
      <c r="H38" s="31"/>
      <c r="I38" s="31">
        <v>-8.9932885906040259</v>
      </c>
      <c r="J38" s="31">
        <v>23.624161073825501</v>
      </c>
      <c r="K38" s="31">
        <v>-6.174496644295302</v>
      </c>
      <c r="L38" s="31">
        <v>-12.348993288590604</v>
      </c>
      <c r="M38" s="75">
        <f>SUM(I38:L38)</f>
        <v>-3.8926174496644297</v>
      </c>
      <c r="N38" s="31"/>
      <c r="O38" s="31">
        <v>-11.946308724832214</v>
      </c>
      <c r="P38" s="31">
        <v>-11.409395973154362</v>
      </c>
      <c r="Q38" s="31">
        <v>-11.275167785234899</v>
      </c>
      <c r="R38" s="31">
        <v>-17.583892617449663</v>
      </c>
      <c r="S38" s="75">
        <f>SUM(O38:R38)</f>
        <v>-52.214765100671137</v>
      </c>
      <c r="T38" s="31"/>
      <c r="U38" s="31">
        <v>25.100671140939596</v>
      </c>
      <c r="V38" s="31">
        <v>-20.671140939597315</v>
      </c>
      <c r="W38" s="31">
        <v>-22.68456375838926</v>
      </c>
      <c r="X38" s="85">
        <v>-40.805369127516776</v>
      </c>
      <c r="Y38" s="75">
        <f>SUM(U38:X38)</f>
        <v>-59.060402684563755</v>
      </c>
      <c r="Z38" s="31"/>
      <c r="AA38" s="85">
        <v>-22.281879194630871</v>
      </c>
      <c r="AB38" s="31">
        <v>-34.228187919463089</v>
      </c>
      <c r="AC38" s="85">
        <v>-33.154362416107382</v>
      </c>
      <c r="AD38" s="85">
        <v>-26.845637583892618</v>
      </c>
      <c r="AE38" s="75">
        <f>SUM(AA38:AD38)</f>
        <v>-116.51006711409397</v>
      </c>
      <c r="AF38" s="31"/>
      <c r="AG38" s="85">
        <v>-39.597315436241608</v>
      </c>
      <c r="AH38" s="85">
        <f>(-159+6)/7.45</f>
        <v>-20.536912751677853</v>
      </c>
      <c r="AI38" s="85">
        <v>-17.583892617449663</v>
      </c>
      <c r="AJ38" s="85">
        <v>-19.328859060402685</v>
      </c>
      <c r="AK38" s="75">
        <f>SUM(AG38:AJ38)</f>
        <v>-97.046979865771817</v>
      </c>
      <c r="AL38" s="31"/>
      <c r="AM38" s="85">
        <v>-12.483221476510067</v>
      </c>
      <c r="AN38" s="85">
        <v>-14.630872483221475</v>
      </c>
      <c r="AO38" s="85">
        <v>-13.422818791946309</v>
      </c>
      <c r="AP38" s="85">
        <v>-16.778523489932887</v>
      </c>
      <c r="AQ38" s="75">
        <f>SUM(AM38:AP38)</f>
        <v>-57.315436241610733</v>
      </c>
      <c r="AR38" s="31"/>
      <c r="AS38" s="85">
        <v>-11.812080536912751</v>
      </c>
      <c r="AT38" s="85">
        <v>-8.9932885906040259</v>
      </c>
      <c r="AU38" s="85">
        <v>-7.1140939597315436</v>
      </c>
      <c r="AV38" s="85">
        <v>-14.630872483221475</v>
      </c>
      <c r="AW38" s="75">
        <f>SUM(AS38:AV38)</f>
        <v>-42.550335570469798</v>
      </c>
      <c r="AX38" s="31"/>
      <c r="AY38" s="85">
        <v>-8.0536912751677843</v>
      </c>
      <c r="AZ38" s="85">
        <v>-7.1140939597315436</v>
      </c>
      <c r="BA38" s="85">
        <v>-6.9798657718120802</v>
      </c>
      <c r="BB38" s="85">
        <v>-10.604026845637584</v>
      </c>
      <c r="BC38" s="75">
        <f>SUM(AY38:BB38)</f>
        <v>-32.75167785234899</v>
      </c>
      <c r="BD38" s="31"/>
      <c r="BE38" s="85">
        <v>-6.7114093959731544</v>
      </c>
      <c r="BF38" s="85">
        <v>-6.5771812080536911</v>
      </c>
      <c r="BG38" s="85">
        <v>-9.3959731543624159</v>
      </c>
      <c r="BH38" s="85">
        <v>-8.3221476510067109</v>
      </c>
      <c r="BI38" s="75">
        <f>SUM(BE38:BH38)</f>
        <v>-31.006711409395969</v>
      </c>
      <c r="BJ38" s="31"/>
      <c r="BK38" s="85">
        <v>-5.1006711409395971</v>
      </c>
      <c r="BL38" s="85">
        <v>-7.3825503355704694</v>
      </c>
      <c r="BM38" s="85">
        <v>-6.8456375838926169</v>
      </c>
      <c r="BN38" s="85">
        <v>-15.8</v>
      </c>
      <c r="BO38" s="75">
        <f>SUM(BK38:BN38)</f>
        <v>-35.128859060402689</v>
      </c>
      <c r="BP38" s="31"/>
      <c r="BQ38" s="85">
        <f>+Cashflow!BQ15</f>
        <v>-10.3</v>
      </c>
      <c r="BR38" s="85">
        <f>+Cashflow!BR15</f>
        <v>-6.6</v>
      </c>
      <c r="BS38" s="85">
        <v>-8.9</v>
      </c>
      <c r="BT38" s="85">
        <f>-37.2+25.8</f>
        <v>-11.400000000000002</v>
      </c>
      <c r="BU38" s="75">
        <f>SUM(BQ38:BT38)</f>
        <v>-37.200000000000003</v>
      </c>
      <c r="BV38" s="31"/>
      <c r="BW38" s="85">
        <f>+Cashflow!BW15</f>
        <v>-13.1</v>
      </c>
      <c r="BX38" s="85">
        <f>+Cashflow!BX15</f>
        <v>-14.4</v>
      </c>
      <c r="BY38" s="85">
        <f>+Cashflow!BY15</f>
        <v>-8.9</v>
      </c>
      <c r="BZ38" s="85">
        <f>+Cashflow!BZ15</f>
        <v>-14.000000000000004</v>
      </c>
      <c r="CA38" s="75">
        <f>SUM(BW38:BZ38)</f>
        <v>-50.400000000000006</v>
      </c>
      <c r="CC38" s="85">
        <f>+Cashflow!CC15</f>
        <v>-4.9000000000000004</v>
      </c>
      <c r="CD38" s="85">
        <v>-4.9000000000000004</v>
      </c>
      <c r="CE38" s="85">
        <f>+Cashflow!CE15</f>
        <v>-6.3</v>
      </c>
      <c r="CF38" s="85">
        <f>16.1-27.3</f>
        <v>-11.2</v>
      </c>
      <c r="CG38" s="75">
        <f>SUM(CC38:CF38)</f>
        <v>-27.3</v>
      </c>
      <c r="CI38" s="85">
        <f>+Cashflow!CI15</f>
        <v>-4.1999999999999993</v>
      </c>
      <c r="CJ38" s="85">
        <f>+Cashflow!CJ15</f>
        <v>-10.299999999999999</v>
      </c>
      <c r="CK38" s="85">
        <f>-7.9+0.4</f>
        <v>-7.5</v>
      </c>
      <c r="CL38" s="85">
        <v>-11.2</v>
      </c>
      <c r="CM38" s="75">
        <f>SUM(CI38:CL38)</f>
        <v>-33.200000000000003</v>
      </c>
      <c r="CN38" s="201"/>
    </row>
    <row r="39" spans="1:92" x14ac:dyDescent="0.2">
      <c r="G39" s="36"/>
      <c r="M39" s="36"/>
      <c r="S39" s="36"/>
      <c r="Y39" s="36"/>
      <c r="AE39" s="36"/>
      <c r="AK39" s="36"/>
      <c r="AQ39" s="36"/>
      <c r="AW39" s="36"/>
      <c r="BC39" s="36"/>
      <c r="BI39" s="36"/>
      <c r="BO39" s="36"/>
      <c r="BU39" s="36"/>
      <c r="CA39" s="36"/>
      <c r="CG39" s="36"/>
      <c r="CM39" s="36"/>
    </row>
    <row r="40" spans="1:92" s="45" customFormat="1" x14ac:dyDescent="0.2">
      <c r="A40" s="43" t="s">
        <v>16</v>
      </c>
      <c r="C40" s="51"/>
      <c r="D40" s="51"/>
      <c r="E40" s="51"/>
      <c r="F40" s="51"/>
      <c r="G40" s="52"/>
      <c r="I40" s="51"/>
      <c r="J40" s="51"/>
      <c r="K40" s="51"/>
      <c r="L40" s="51"/>
      <c r="M40" s="52"/>
      <c r="O40" s="51"/>
      <c r="P40" s="51"/>
      <c r="Q40" s="51"/>
      <c r="R40" s="51"/>
      <c r="S40" s="52"/>
      <c r="U40" s="51"/>
      <c r="V40" s="51"/>
      <c r="W40" s="51"/>
      <c r="X40" s="51"/>
      <c r="Y40" s="52"/>
      <c r="AA40" s="51"/>
      <c r="AB40" s="51"/>
      <c r="AC40" s="51"/>
      <c r="AD40" s="51"/>
      <c r="AE40" s="52"/>
      <c r="AG40" s="51"/>
      <c r="AH40" s="51"/>
      <c r="AI40" s="51"/>
      <c r="AJ40" s="51"/>
      <c r="AK40" s="52"/>
      <c r="AM40" s="51"/>
      <c r="AN40" s="51"/>
      <c r="AO40" s="51"/>
      <c r="AP40" s="51"/>
      <c r="AQ40" s="52"/>
      <c r="AS40" s="51"/>
      <c r="AT40" s="51"/>
      <c r="AU40" s="51"/>
      <c r="AV40" s="51"/>
      <c r="AW40" s="52"/>
      <c r="AY40" s="51"/>
      <c r="AZ40" s="51"/>
      <c r="BA40" s="51"/>
      <c r="BB40" s="51"/>
      <c r="BC40" s="52"/>
      <c r="BE40" s="51"/>
      <c r="BF40" s="51"/>
      <c r="BG40" s="51"/>
      <c r="BH40" s="51"/>
      <c r="BI40" s="52"/>
      <c r="BK40" s="51"/>
      <c r="BL40" s="51"/>
      <c r="BM40" s="51"/>
      <c r="BN40" s="51"/>
      <c r="BO40" s="52"/>
      <c r="BQ40" s="51"/>
      <c r="BR40" s="51"/>
      <c r="BS40" s="51"/>
      <c r="BT40" s="51"/>
      <c r="BU40" s="52"/>
      <c r="BW40" s="51"/>
      <c r="BX40" s="51"/>
      <c r="BY40" s="51"/>
      <c r="BZ40" s="51"/>
      <c r="CA40" s="52"/>
      <c r="CC40" s="51"/>
      <c r="CD40" s="51"/>
      <c r="CE40" s="51"/>
      <c r="CF40" s="51"/>
      <c r="CG40" s="52"/>
      <c r="CI40" s="51"/>
      <c r="CJ40" s="51"/>
      <c r="CK40" s="51"/>
      <c r="CL40" s="51"/>
      <c r="CM40" s="52"/>
    </row>
    <row r="41" spans="1:92" ht="4.5" customHeight="1" x14ac:dyDescent="0.2">
      <c r="G41" s="36"/>
      <c r="M41" s="36"/>
      <c r="S41" s="36"/>
      <c r="Y41" s="36"/>
      <c r="AE41" s="36"/>
      <c r="AK41" s="36"/>
      <c r="AQ41" s="36"/>
      <c r="AW41" s="36"/>
      <c r="BC41" s="36"/>
      <c r="BI41" s="36"/>
      <c r="BO41" s="36"/>
      <c r="BU41" s="36"/>
      <c r="CA41" s="36"/>
      <c r="CG41" s="36"/>
      <c r="CM41" s="36"/>
    </row>
    <row r="42" spans="1:92" ht="12.75" customHeight="1" x14ac:dyDescent="0.2">
      <c r="A42" s="2" t="s">
        <v>17</v>
      </c>
      <c r="C42" s="10">
        <v>0.47</v>
      </c>
      <c r="D42" s="10">
        <v>0.46</v>
      </c>
      <c r="E42" s="10">
        <v>0.43</v>
      </c>
      <c r="F42" s="10">
        <v>0.44</v>
      </c>
      <c r="G42" s="38"/>
      <c r="I42" s="10">
        <v>0.43</v>
      </c>
      <c r="J42" s="10">
        <v>0.38</v>
      </c>
      <c r="K42" s="10">
        <v>0.39</v>
      </c>
      <c r="L42" s="10">
        <v>0.38</v>
      </c>
      <c r="M42" s="38"/>
      <c r="O42" s="10">
        <v>0.36</v>
      </c>
      <c r="P42" s="10">
        <v>0.33</v>
      </c>
      <c r="Q42" s="10">
        <v>0.33</v>
      </c>
      <c r="R42" s="10">
        <v>0.36</v>
      </c>
      <c r="S42" s="38" t="s">
        <v>51</v>
      </c>
      <c r="U42" s="10">
        <v>0.35</v>
      </c>
      <c r="V42" s="10">
        <v>0.33</v>
      </c>
      <c r="W42" s="10">
        <v>0.35</v>
      </c>
      <c r="X42" s="10">
        <v>0.35</v>
      </c>
      <c r="Y42" s="38" t="s">
        <v>51</v>
      </c>
      <c r="AA42" s="10">
        <v>0.36</v>
      </c>
      <c r="AB42" s="11">
        <v>0.36</v>
      </c>
      <c r="AC42" s="12">
        <v>0.35</v>
      </c>
      <c r="AD42" s="12">
        <v>0.37</v>
      </c>
      <c r="AE42" s="38" t="s">
        <v>51</v>
      </c>
      <c r="AG42" s="10">
        <v>0.34</v>
      </c>
      <c r="AH42" s="12">
        <v>0.33</v>
      </c>
      <c r="AI42" s="12">
        <v>0.32</v>
      </c>
      <c r="AJ42" s="12">
        <v>0.33</v>
      </c>
      <c r="AK42" s="41"/>
      <c r="AM42" s="10">
        <v>0.28999999999999998</v>
      </c>
      <c r="AN42" s="10">
        <v>0.28999999999999998</v>
      </c>
      <c r="AO42" s="12">
        <v>0.28999999999999998</v>
      </c>
      <c r="AP42" s="12">
        <v>0.3</v>
      </c>
      <c r="AQ42" s="41"/>
      <c r="AS42" s="10">
        <v>0.3</v>
      </c>
      <c r="AT42" s="10">
        <v>0.41</v>
      </c>
      <c r="AU42" s="10">
        <v>0.43</v>
      </c>
      <c r="AV42" s="12">
        <v>0.44</v>
      </c>
      <c r="AW42" s="41"/>
      <c r="AY42" s="10">
        <v>0.41</v>
      </c>
      <c r="AZ42" s="10">
        <v>0.42</v>
      </c>
      <c r="BA42" s="10">
        <v>0.41</v>
      </c>
      <c r="BB42" s="12">
        <v>0.44</v>
      </c>
      <c r="BC42" s="41"/>
      <c r="BE42" s="10">
        <v>0.43</v>
      </c>
      <c r="BF42" s="10">
        <v>0.44</v>
      </c>
      <c r="BG42" s="10">
        <v>0.44</v>
      </c>
      <c r="BH42" s="12">
        <v>0.48</v>
      </c>
      <c r="BI42" s="41"/>
      <c r="BK42" s="10">
        <v>0.46</v>
      </c>
      <c r="BL42" s="10">
        <v>0.43</v>
      </c>
      <c r="BM42" s="10">
        <v>0.46</v>
      </c>
      <c r="BN42" s="10">
        <v>0.48</v>
      </c>
      <c r="BO42" s="41"/>
      <c r="BQ42" s="10">
        <f>+BQ29/BQ31</f>
        <v>0.46193273439299698</v>
      </c>
      <c r="BR42" s="10">
        <f>+BR29/BR31</f>
        <v>0.44857878245299909</v>
      </c>
      <c r="BS42" s="10">
        <f>+BS29/BS31</f>
        <v>0.43977785491148913</v>
      </c>
      <c r="BT42" s="10">
        <v>0.54</v>
      </c>
      <c r="BU42" s="41"/>
      <c r="BW42" s="10">
        <f>+BW29/BW31</f>
        <v>0.36217566358484937</v>
      </c>
      <c r="BX42" s="10">
        <f>+BX29/BX31</f>
        <v>0.34966180135279462</v>
      </c>
      <c r="BY42" s="10">
        <f>+BY29/BY31</f>
        <v>0.35659666128163703</v>
      </c>
      <c r="BZ42" s="10">
        <f>+BZ29/BZ31</f>
        <v>0.42859393048409111</v>
      </c>
      <c r="CA42" s="41"/>
      <c r="CC42" s="10">
        <f>+CC29/CC31</f>
        <v>0.40290126345343935</v>
      </c>
      <c r="CD42" s="10">
        <f>+CD29/CD31</f>
        <v>0.39825581395348836</v>
      </c>
      <c r="CE42" s="10">
        <f>+(CE29+CE30)/CE31</f>
        <v>0.47703818369453044</v>
      </c>
      <c r="CF42" s="10">
        <f>+(CF29+CF30)/CF31</f>
        <v>0.48171256454388978</v>
      </c>
      <c r="CG42" s="41"/>
      <c r="CI42" s="10">
        <f>+(CI29+CI30)/CI31</f>
        <v>0.46482492772245421</v>
      </c>
      <c r="CJ42" s="10">
        <f>+(CJ29+CJ30)/CJ31</f>
        <v>0.44522390421435737</v>
      </c>
      <c r="CK42" s="10">
        <f>+(CK29+CK30)/CK31</f>
        <v>0.42745056459735992</v>
      </c>
      <c r="CL42" s="10">
        <f>+(CL29+CL30)/CL31</f>
        <v>0.44920084944674188</v>
      </c>
      <c r="CM42" s="41"/>
    </row>
    <row r="43" spans="1:92" ht="12.75" customHeight="1" x14ac:dyDescent="0.2">
      <c r="A43" s="2" t="s">
        <v>106</v>
      </c>
      <c r="C43" s="2">
        <v>24500</v>
      </c>
      <c r="D43" s="2">
        <v>24500</v>
      </c>
      <c r="E43" s="2">
        <v>24500</v>
      </c>
      <c r="F43" s="2">
        <v>24500</v>
      </c>
      <c r="G43" s="36"/>
      <c r="I43" s="2">
        <v>24500</v>
      </c>
      <c r="J43" s="2">
        <v>23500</v>
      </c>
      <c r="K43" s="2">
        <v>23500</v>
      </c>
      <c r="L43" s="2">
        <v>23500</v>
      </c>
      <c r="M43" s="36"/>
      <c r="O43" s="13">
        <v>23561</v>
      </c>
      <c r="P43" s="13">
        <v>23638</v>
      </c>
      <c r="Q43" s="13">
        <v>23638</v>
      </c>
      <c r="R43" s="13">
        <v>23638</v>
      </c>
      <c r="S43" s="36"/>
      <c r="U43" s="13">
        <v>23655</v>
      </c>
      <c r="V43" s="13">
        <v>23718</v>
      </c>
      <c r="W43" s="13">
        <v>23718</v>
      </c>
      <c r="X43" s="13">
        <v>23718</v>
      </c>
      <c r="Y43" s="36"/>
      <c r="AA43" s="13">
        <v>23718</v>
      </c>
      <c r="AB43" s="14">
        <v>23718</v>
      </c>
      <c r="AC43" s="14">
        <v>23718</v>
      </c>
      <c r="AD43" s="14">
        <f>23718</f>
        <v>23718</v>
      </c>
      <c r="AE43" s="36"/>
      <c r="AG43" s="13">
        <v>23722</v>
      </c>
      <c r="AH43" s="13">
        <v>23738</v>
      </c>
      <c r="AI43" s="14">
        <v>23738</v>
      </c>
      <c r="AJ43" s="14">
        <v>23738</v>
      </c>
      <c r="AK43" s="36"/>
      <c r="AM43" s="13">
        <f>+Valuation!AG5</f>
        <v>23737.978999999999</v>
      </c>
      <c r="AN43" s="13">
        <f>+Valuation!AH5</f>
        <v>23737.978999999999</v>
      </c>
      <c r="AO43" s="13">
        <f>+Valuation!AI5</f>
        <v>23737.978999999999</v>
      </c>
      <c r="AP43" s="13">
        <f>+Valuation!AJ5</f>
        <v>23737.978999999999</v>
      </c>
      <c r="AQ43" s="36"/>
      <c r="AS43" s="13">
        <f>+Valuation!AL5</f>
        <v>23888</v>
      </c>
      <c r="AT43" s="13">
        <v>23888</v>
      </c>
      <c r="AU43" s="13">
        <v>23888</v>
      </c>
      <c r="AV43" s="13">
        <v>23888</v>
      </c>
      <c r="AW43" s="36"/>
      <c r="AY43" s="13">
        <f>+Valuation!AQ5</f>
        <v>23930</v>
      </c>
      <c r="AZ43" s="13">
        <f>+Valuation!AR5</f>
        <v>23930</v>
      </c>
      <c r="BA43" s="13">
        <f>+Valuation!AS5</f>
        <v>23930</v>
      </c>
      <c r="BB43" s="13">
        <f>+Valuation!AT5</f>
        <v>23930</v>
      </c>
      <c r="BC43" s="36"/>
      <c r="BE43" s="13">
        <f>+Valuation!AV5</f>
        <v>23934</v>
      </c>
      <c r="BF43" s="13">
        <f>+Valuation!AW5</f>
        <v>23934</v>
      </c>
      <c r="BG43" s="13">
        <f>+Valuation!AX5</f>
        <v>23934</v>
      </c>
      <c r="BH43" s="13">
        <f>+Valuation!AY5</f>
        <v>23934</v>
      </c>
      <c r="BI43" s="36"/>
      <c r="BK43" s="13">
        <f>+Valuation!BA5</f>
        <v>24186</v>
      </c>
      <c r="BL43" s="13">
        <f>+Valuation!BB5</f>
        <v>24186</v>
      </c>
      <c r="BM43" s="13">
        <v>24186</v>
      </c>
      <c r="BN43" s="13">
        <v>24186</v>
      </c>
      <c r="BO43" s="36"/>
      <c r="BQ43" s="13">
        <v>24356</v>
      </c>
      <c r="BR43" s="13">
        <v>24356</v>
      </c>
      <c r="BS43" s="13">
        <v>24398</v>
      </c>
      <c r="BT43" s="13">
        <v>26835</v>
      </c>
      <c r="BU43" s="36"/>
      <c r="BW43" s="13">
        <v>27071</v>
      </c>
      <c r="BX43" s="13">
        <f>+Valuation!BL5</f>
        <v>27112</v>
      </c>
      <c r="BY43" s="13">
        <v>27126</v>
      </c>
      <c r="BZ43" s="13">
        <v>27126</v>
      </c>
      <c r="CA43" s="36"/>
      <c r="CC43" s="13">
        <v>27126</v>
      </c>
      <c r="CD43" s="13">
        <v>27126</v>
      </c>
      <c r="CE43" s="13">
        <v>27126</v>
      </c>
      <c r="CF43" s="13">
        <v>27126</v>
      </c>
      <c r="CG43" s="36"/>
      <c r="CI43" s="13">
        <v>27126</v>
      </c>
      <c r="CJ43" s="13">
        <v>27126</v>
      </c>
      <c r="CK43" s="13">
        <v>27126</v>
      </c>
      <c r="CL43" s="13">
        <v>27260</v>
      </c>
      <c r="CM43" s="36"/>
    </row>
    <row r="44" spans="1:92" ht="12.75" customHeight="1" x14ac:dyDescent="0.2">
      <c r="A44" s="2" t="s">
        <v>145</v>
      </c>
      <c r="G44" s="36"/>
      <c r="M44" s="36"/>
      <c r="O44" s="13"/>
      <c r="P44" s="13"/>
      <c r="Q44" s="13"/>
      <c r="R44" s="13"/>
      <c r="S44" s="36"/>
      <c r="U44" s="13"/>
      <c r="V44" s="13"/>
      <c r="W44" s="13"/>
      <c r="X44" s="13"/>
      <c r="Y44" s="36"/>
      <c r="AA44" s="13"/>
      <c r="AB44" s="14"/>
      <c r="AC44" s="14"/>
      <c r="AD44" s="14"/>
      <c r="AE44" s="36"/>
      <c r="AG44" s="13"/>
      <c r="AH44" s="13"/>
      <c r="AI44" s="14"/>
      <c r="AJ44" s="14"/>
      <c r="AK44" s="36"/>
      <c r="AM44" s="13"/>
      <c r="AN44" s="13"/>
      <c r="AO44" s="13"/>
      <c r="AP44" s="13"/>
      <c r="AQ44" s="36"/>
      <c r="AS44" s="13"/>
      <c r="AT44" s="13"/>
      <c r="AU44" s="13"/>
      <c r="AV44" s="13"/>
      <c r="AW44" s="36"/>
      <c r="AY44" s="13"/>
      <c r="AZ44" s="13"/>
      <c r="BA44" s="13"/>
      <c r="BB44" s="13"/>
      <c r="BC44" s="36"/>
      <c r="BE44" s="13"/>
      <c r="BF44" s="13"/>
      <c r="BG44" s="13"/>
      <c r="BH44" s="13"/>
      <c r="BI44" s="36"/>
      <c r="BK44" s="13"/>
      <c r="BL44" s="13"/>
      <c r="BM44" s="13"/>
      <c r="BN44" s="13">
        <v>77</v>
      </c>
      <c r="BO44" s="36"/>
      <c r="BQ44" s="13">
        <v>176</v>
      </c>
      <c r="BR44" s="13">
        <v>589</v>
      </c>
      <c r="BS44" s="13">
        <v>948</v>
      </c>
      <c r="BT44" s="13">
        <v>0</v>
      </c>
      <c r="BU44" s="36"/>
      <c r="BW44" s="13">
        <v>0</v>
      </c>
      <c r="BX44" s="13">
        <f>+Valuation!BL6</f>
        <v>0</v>
      </c>
      <c r="BY44" s="13">
        <v>0</v>
      </c>
      <c r="BZ44" s="13">
        <v>0</v>
      </c>
      <c r="CA44" s="36"/>
      <c r="CC44" s="13">
        <v>0</v>
      </c>
      <c r="CD44" s="13">
        <v>0</v>
      </c>
      <c r="CE44" s="13">
        <v>0</v>
      </c>
      <c r="CF44" s="13">
        <v>0</v>
      </c>
      <c r="CG44" s="36"/>
      <c r="CI44" s="13">
        <v>0</v>
      </c>
      <c r="CJ44" s="13">
        <v>0</v>
      </c>
      <c r="CK44" s="13">
        <v>0</v>
      </c>
      <c r="CL44" s="13">
        <v>0</v>
      </c>
      <c r="CM44" s="36"/>
    </row>
    <row r="45" spans="1:92" ht="12.75" customHeight="1" x14ac:dyDescent="0.2">
      <c r="A45" s="2" t="s">
        <v>109</v>
      </c>
      <c r="C45" s="15">
        <v>0.28187919463087246</v>
      </c>
      <c r="D45" s="15">
        <v>0.57718120805369122</v>
      </c>
      <c r="E45" s="15">
        <v>0.63087248322147649</v>
      </c>
      <c r="F45" s="15">
        <v>0.48322147651006714</v>
      </c>
      <c r="G45" s="39">
        <f>SUM(C45:F45)</f>
        <v>1.9731543624161072</v>
      </c>
      <c r="I45" s="15">
        <v>3.6</v>
      </c>
      <c r="J45" s="15">
        <v>9.4</v>
      </c>
      <c r="K45" s="15">
        <v>5.9</v>
      </c>
      <c r="L45" s="15">
        <v>6</v>
      </c>
      <c r="M45" s="39">
        <f>SUM(I45:L45)</f>
        <v>24.9</v>
      </c>
      <c r="O45" s="15">
        <v>0.68456375838926165</v>
      </c>
      <c r="P45" s="15">
        <v>1.2483221476510067</v>
      </c>
      <c r="Q45" s="15">
        <v>0.9261744966442953</v>
      </c>
      <c r="R45" s="15">
        <v>1.7315436241610738</v>
      </c>
      <c r="S45" s="39">
        <f>SUM(O45:R45)</f>
        <v>4.5906040268456376</v>
      </c>
      <c r="U45" s="15">
        <v>0.77852348993288589</v>
      </c>
      <c r="V45" s="15">
        <v>1.3154362416107384</v>
      </c>
      <c r="W45" s="15">
        <v>0.7516778523489932</v>
      </c>
      <c r="X45" s="15">
        <v>-0.56375838926174493</v>
      </c>
      <c r="Y45" s="39">
        <f>SUM(U45:X45)</f>
        <v>2.2818791946308723</v>
      </c>
      <c r="AA45" s="16">
        <v>1.3422818791946308E-2</v>
      </c>
      <c r="AB45" s="17">
        <v>0.53691275167785235</v>
      </c>
      <c r="AC45" s="17">
        <v>0.38926174496644295</v>
      </c>
      <c r="AD45" s="16">
        <v>0.42953020134228187</v>
      </c>
      <c r="AE45" s="39">
        <f>SUM(AA45:AD45)</f>
        <v>1.3691275167785235</v>
      </c>
      <c r="AG45" s="16">
        <v>0.36241610738255037</v>
      </c>
      <c r="AH45" s="16">
        <v>0.55033557046979864</v>
      </c>
      <c r="AI45" s="17">
        <v>0.44295302013422816</v>
      </c>
      <c r="AJ45" s="16">
        <v>0.16107382550335569</v>
      </c>
      <c r="AK45" s="39">
        <f>SUM(AG45:AJ45)</f>
        <v>1.5167785234899329</v>
      </c>
      <c r="AM45" s="16">
        <v>0.28187919463087246</v>
      </c>
      <c r="AN45" s="16">
        <v>0.17449664429530201</v>
      </c>
      <c r="AO45" s="16">
        <v>0.24161073825503357</v>
      </c>
      <c r="AP45" s="16">
        <v>1.3422818791946308E-2</v>
      </c>
      <c r="AQ45" s="39">
        <f>SUM(AM45:AP45)</f>
        <v>0.71140939597315433</v>
      </c>
      <c r="AS45" s="16">
        <v>0.17449664429530201</v>
      </c>
      <c r="AT45" s="16">
        <v>8.1342281879194633</v>
      </c>
      <c r="AU45" s="16">
        <v>0.20134228187919462</v>
      </c>
      <c r="AV45" s="16">
        <v>0.55033557046979864</v>
      </c>
      <c r="AW45" s="39">
        <f>SUM(AS45:AV45)</f>
        <v>9.0604026845637584</v>
      </c>
      <c r="AY45" s="16">
        <v>0.13422818791946309</v>
      </c>
      <c r="AZ45" s="16">
        <v>0.42953020134228187</v>
      </c>
      <c r="BA45" s="16">
        <v>0.29530201342281881</v>
      </c>
      <c r="BB45" s="16">
        <v>0.56375838926174493</v>
      </c>
      <c r="BC45" s="39">
        <f>SUM(AY45:BB45)</f>
        <v>1.4228187919463087</v>
      </c>
      <c r="BE45" s="16">
        <v>0.48322147651006714</v>
      </c>
      <c r="BF45" s="16">
        <v>0.26845637583892618</v>
      </c>
      <c r="BG45" s="16">
        <v>0.33557046979865773</v>
      </c>
      <c r="BH45" s="16">
        <v>0.48322147651006714</v>
      </c>
      <c r="BI45" s="39">
        <f>SUM(BE45:BH45)</f>
        <v>1.5704697986577181</v>
      </c>
      <c r="BK45" s="16">
        <v>0.51006711409395966</v>
      </c>
      <c r="BL45" s="16">
        <v>-1.1543624161073824</v>
      </c>
      <c r="BM45" s="16">
        <v>0.40268456375838924</v>
      </c>
      <c r="BN45" s="16">
        <v>0.2</v>
      </c>
      <c r="BO45" s="39">
        <f>SUM(BK45:BN45)</f>
        <v>-4.161073825503353E-2</v>
      </c>
      <c r="BQ45" s="16">
        <v>0.4</v>
      </c>
      <c r="BR45" s="16">
        <v>0.9</v>
      </c>
      <c r="BS45" s="16">
        <v>-1</v>
      </c>
      <c r="BT45" s="16">
        <v>0.2</v>
      </c>
      <c r="BU45" s="39">
        <f>SUM(BQ45:BT45)</f>
        <v>0.5</v>
      </c>
      <c r="BW45" s="16">
        <v>0.5</v>
      </c>
      <c r="BX45" s="16">
        <v>1.2</v>
      </c>
      <c r="BY45" s="16">
        <v>0.6</v>
      </c>
      <c r="BZ45" s="16">
        <v>32</v>
      </c>
      <c r="CA45" s="39">
        <f>SUM(BW45:BZ45)</f>
        <v>34.299999999999997</v>
      </c>
      <c r="CC45" s="16">
        <v>-0.2</v>
      </c>
      <c r="CD45" s="16">
        <v>0.1</v>
      </c>
      <c r="CE45" s="16">
        <v>-0.1</v>
      </c>
      <c r="CF45" s="16">
        <v>-1.6</v>
      </c>
      <c r="CG45" s="39">
        <f>SUM(CC45:CF45)</f>
        <v>-1.8</v>
      </c>
      <c r="CI45" s="16">
        <v>-0.8</v>
      </c>
      <c r="CJ45" s="16">
        <v>-0.6</v>
      </c>
      <c r="CK45" s="16">
        <v>-0.8</v>
      </c>
      <c r="CL45" s="16">
        <v>-1.1000000000000001</v>
      </c>
      <c r="CM45" s="39">
        <f>SUM(CI45:CL45)</f>
        <v>-3.3000000000000003</v>
      </c>
    </row>
    <row r="46" spans="1:92" ht="12.75" customHeight="1" x14ac:dyDescent="0.2">
      <c r="A46" s="2" t="s">
        <v>138</v>
      </c>
      <c r="C46" s="15">
        <v>0</v>
      </c>
      <c r="D46" s="15">
        <v>8</v>
      </c>
      <c r="E46" s="15">
        <v>0</v>
      </c>
      <c r="F46" s="15">
        <v>0</v>
      </c>
      <c r="G46" s="39">
        <f>SUM(C46:F46)</f>
        <v>8</v>
      </c>
      <c r="I46" s="15">
        <v>0</v>
      </c>
      <c r="J46" s="15">
        <v>12</v>
      </c>
      <c r="K46" s="15">
        <v>0</v>
      </c>
      <c r="L46" s="15">
        <v>0</v>
      </c>
      <c r="M46" s="39">
        <f>SUM(I46:L46)</f>
        <v>12</v>
      </c>
      <c r="O46" s="15">
        <v>0</v>
      </c>
      <c r="P46" s="15">
        <v>10</v>
      </c>
      <c r="Q46" s="15">
        <v>0</v>
      </c>
      <c r="R46" s="15">
        <v>0</v>
      </c>
      <c r="S46" s="39">
        <f>SUM(O46:R46)</f>
        <v>10</v>
      </c>
      <c r="U46" s="15">
        <v>0</v>
      </c>
      <c r="V46" s="15">
        <v>11</v>
      </c>
      <c r="W46" s="15">
        <v>0</v>
      </c>
      <c r="X46" s="15">
        <v>0</v>
      </c>
      <c r="Y46" s="39">
        <f>SUM(U46:X46)</f>
        <v>11</v>
      </c>
      <c r="AA46" s="16">
        <v>0</v>
      </c>
      <c r="AB46" s="17">
        <v>0</v>
      </c>
      <c r="AC46" s="17">
        <v>0</v>
      </c>
      <c r="AD46" s="17">
        <v>0</v>
      </c>
      <c r="AE46" s="39">
        <f>SUM(AA46:AD46)</f>
        <v>0</v>
      </c>
      <c r="AG46" s="16">
        <v>3.5</v>
      </c>
      <c r="AH46" s="16">
        <v>0</v>
      </c>
      <c r="AI46" s="16">
        <v>0</v>
      </c>
      <c r="AJ46" s="17">
        <v>0</v>
      </c>
      <c r="AK46" s="39">
        <f>SUM(AG46:AJ46)</f>
        <v>3.5</v>
      </c>
      <c r="AM46" s="16">
        <v>2</v>
      </c>
      <c r="AN46" s="16">
        <v>0</v>
      </c>
      <c r="AO46" s="16">
        <v>0</v>
      </c>
      <c r="AP46" s="17">
        <v>0</v>
      </c>
      <c r="AQ46" s="39">
        <f>SUM(AM46:AP46)</f>
        <v>2</v>
      </c>
      <c r="AS46" s="16">
        <v>0</v>
      </c>
      <c r="AT46" s="16">
        <v>2</v>
      </c>
      <c r="AU46" s="16">
        <v>0</v>
      </c>
      <c r="AV46" s="17">
        <v>0</v>
      </c>
      <c r="AW46" s="39">
        <f>SUM(AS46:AV46)</f>
        <v>2</v>
      </c>
      <c r="AY46" s="16">
        <v>8</v>
      </c>
      <c r="AZ46" s="16">
        <v>0</v>
      </c>
      <c r="BA46" s="16">
        <v>0</v>
      </c>
      <c r="BB46" s="17">
        <v>0</v>
      </c>
      <c r="BC46" s="39">
        <f>SUM(AY46:BB46)</f>
        <v>8</v>
      </c>
      <c r="BE46" s="16">
        <v>3.5</v>
      </c>
      <c r="BF46" s="16">
        <v>0</v>
      </c>
      <c r="BG46" s="16">
        <v>0</v>
      </c>
      <c r="BH46" s="17">
        <v>0</v>
      </c>
      <c r="BI46" s="39">
        <f>SUM(BE46:BH46)</f>
        <v>3.5</v>
      </c>
      <c r="BK46" s="16">
        <v>4</v>
      </c>
      <c r="BL46" s="16">
        <v>0</v>
      </c>
      <c r="BM46" s="16">
        <v>0</v>
      </c>
      <c r="BN46" s="17">
        <v>0</v>
      </c>
      <c r="BO46" s="39">
        <f>SUM(BK46:BN46)</f>
        <v>4</v>
      </c>
      <c r="BQ46" s="16">
        <v>0</v>
      </c>
      <c r="BR46" s="16">
        <v>4</v>
      </c>
      <c r="BS46" s="16">
        <v>0</v>
      </c>
      <c r="BT46" s="17">
        <v>0</v>
      </c>
      <c r="BU46" s="39">
        <f>SUM(BQ46:BT46)</f>
        <v>4</v>
      </c>
      <c r="BW46" s="16">
        <v>0</v>
      </c>
      <c r="BX46" s="16">
        <v>0</v>
      </c>
      <c r="BY46" s="16">
        <v>0</v>
      </c>
      <c r="BZ46" s="17">
        <v>0</v>
      </c>
      <c r="CA46" s="39">
        <f>SUM(BW46:BZ46)</f>
        <v>0</v>
      </c>
      <c r="CC46" s="16">
        <v>0</v>
      </c>
      <c r="CD46" s="16">
        <v>0</v>
      </c>
      <c r="CE46" s="16">
        <v>0</v>
      </c>
      <c r="CF46" s="17">
        <v>0</v>
      </c>
      <c r="CG46" s="39">
        <f>SUM(CC46:CF46)</f>
        <v>0</v>
      </c>
      <c r="CI46" s="16">
        <v>0</v>
      </c>
      <c r="CJ46" s="16">
        <v>0</v>
      </c>
      <c r="CK46" s="16">
        <v>0</v>
      </c>
      <c r="CL46" s="17">
        <v>0</v>
      </c>
      <c r="CM46" s="39">
        <f>SUM(CI46:CL46)</f>
        <v>0</v>
      </c>
    </row>
    <row r="47" spans="1:92" ht="12.75" customHeight="1" x14ac:dyDescent="0.2">
      <c r="A47" s="2" t="s">
        <v>137</v>
      </c>
      <c r="C47" s="15">
        <v>15.033557046979865</v>
      </c>
      <c r="D47" s="15">
        <v>14.899328859060402</v>
      </c>
      <c r="E47" s="15">
        <v>14.765100671140939</v>
      </c>
      <c r="F47" s="15">
        <v>15.302013422818792</v>
      </c>
      <c r="G47" s="36"/>
      <c r="I47" s="15">
        <v>15.570469798657717</v>
      </c>
      <c r="J47" s="15">
        <v>14.496644295302014</v>
      </c>
      <c r="K47" s="15">
        <v>15.302013422818792</v>
      </c>
      <c r="L47" s="15">
        <v>15.973154362416107</v>
      </c>
      <c r="M47" s="36"/>
      <c r="O47" s="15">
        <v>16.51006711409396</v>
      </c>
      <c r="P47" s="15">
        <v>16.241610738255034</v>
      </c>
      <c r="Q47" s="15">
        <v>16.912751677852349</v>
      </c>
      <c r="R47" s="15">
        <v>18.389261744966444</v>
      </c>
      <c r="S47" s="36"/>
      <c r="U47" s="15">
        <v>19.060402684563758</v>
      </c>
      <c r="V47" s="15">
        <v>19.060402684563758</v>
      </c>
      <c r="W47" s="15">
        <v>20.402684563758388</v>
      </c>
      <c r="X47" s="15">
        <v>19.463087248322147</v>
      </c>
      <c r="Y47" s="36"/>
      <c r="AA47" s="16">
        <v>19.597315436241612</v>
      </c>
      <c r="AB47" s="17">
        <v>19.865771812080535</v>
      </c>
      <c r="AC47" s="16">
        <v>20.134228187919462</v>
      </c>
      <c r="AD47" s="16">
        <v>21.073825503355703</v>
      </c>
      <c r="AE47" s="36"/>
      <c r="AG47" s="18">
        <v>21.610738255033556</v>
      </c>
      <c r="AH47" s="18">
        <f>+AH29/AH43*1000</f>
        <v>22.78791799289899</v>
      </c>
      <c r="AI47" s="18">
        <f>+AI29/Valuation!AD7*1000</f>
        <v>22.646503789970694</v>
      </c>
      <c r="AJ47" s="18">
        <f>+AJ29/Valuation!AE7*1000</f>
        <v>23.287549613684796</v>
      </c>
      <c r="AK47" s="36"/>
      <c r="AM47" s="16">
        <f>(+AM29/Valuation!AG7*1000)/7.45</f>
        <v>3.0375720051955337</v>
      </c>
      <c r="AN47" s="16">
        <f>(+AN29/Valuation!AH7*1000)/7.45</f>
        <v>3.0330030826507421</v>
      </c>
      <c r="AO47" s="16">
        <f>(+AO29/Valuation!AI7*1000)/7.45</f>
        <v>3.0459483631943187</v>
      </c>
      <c r="AP47" s="16">
        <f>(+AP29/Valuation!AJ7*1000)/7.45</f>
        <v>3.0916375886422327</v>
      </c>
      <c r="AQ47" s="36"/>
      <c r="AS47" s="18">
        <v>23.221476510067113</v>
      </c>
      <c r="AT47" s="18">
        <v>31.275167785234899</v>
      </c>
      <c r="AU47" s="18">
        <v>31.812080536912752</v>
      </c>
      <c r="AV47" s="18">
        <v>32.348993288590606</v>
      </c>
      <c r="AW47" s="36"/>
      <c r="AY47" s="18">
        <v>31.349735249206759</v>
      </c>
      <c r="AZ47" s="18">
        <v>31.529809118884486</v>
      </c>
      <c r="BA47" s="18">
        <v>31.574827586303922</v>
      </c>
      <c r="BB47" s="18">
        <v>31.889956858239938</v>
      </c>
      <c r="BC47" s="36"/>
      <c r="BE47" s="18">
        <v>31.507643557404254</v>
      </c>
      <c r="BF47" s="18">
        <v>31.985884575686285</v>
      </c>
      <c r="BG47" s="18">
        <v>33.268695777666309</v>
      </c>
      <c r="BH47" s="18">
        <v>33.583772213240358</v>
      </c>
      <c r="BI47" s="36"/>
      <c r="BK47" s="18">
        <v>35.131273208005808</v>
      </c>
      <c r="BL47" s="18">
        <v>33.28841244226097</v>
      </c>
      <c r="BM47" s="18">
        <v>33.132520897122433</v>
      </c>
      <c r="BN47" s="18">
        <v>34</v>
      </c>
      <c r="BO47" s="36"/>
      <c r="BQ47" s="18">
        <f>+BQ29*1000/BQ43</f>
        <v>32.932337001149612</v>
      </c>
      <c r="BR47" s="18">
        <v>34</v>
      </c>
      <c r="BS47" s="18">
        <v>32</v>
      </c>
      <c r="BT47" s="18">
        <v>35</v>
      </c>
      <c r="BU47" s="36"/>
      <c r="BW47" s="18">
        <f>+BW29*1000/BW43</f>
        <v>35.887111669314024</v>
      </c>
      <c r="BX47" s="18">
        <f>+BX29*1000/BX43</f>
        <v>36.227500737680735</v>
      </c>
      <c r="BY47" s="18">
        <f>+BY29*1000/BY43</f>
        <v>36.618004866180051</v>
      </c>
      <c r="BZ47" s="18">
        <f>+BZ29*1000/BZ43</f>
        <v>30.092899800928997</v>
      </c>
      <c r="CA47" s="36"/>
      <c r="CC47" s="18">
        <f>+CC29*1000/CC43</f>
        <v>28.566688785666887</v>
      </c>
      <c r="CD47" s="18">
        <v>28</v>
      </c>
      <c r="CE47" s="18">
        <f>+CE29*1000/CE43</f>
        <v>28.551942785519429</v>
      </c>
      <c r="CF47" s="18">
        <f>+CF29*1000/CF43</f>
        <v>27.398068273980684</v>
      </c>
      <c r="CG47" s="36"/>
      <c r="CI47" s="18">
        <f>+CI29*1000/CI43</f>
        <v>26.314237263142374</v>
      </c>
      <c r="CJ47" s="18">
        <f>+CJ29*1000/CJ43</f>
        <v>25.352060753520608</v>
      </c>
      <c r="CK47" s="18">
        <f>+CK29*1000/CK43</f>
        <v>24.183440241834404</v>
      </c>
      <c r="CL47" s="18">
        <f>+CL29*1000/CL43</f>
        <v>23.895818048422598</v>
      </c>
      <c r="CM47" s="36"/>
    </row>
    <row r="48" spans="1:92" s="164" customFormat="1" ht="12.75" customHeight="1" x14ac:dyDescent="0.2">
      <c r="A48" s="164" t="s">
        <v>136</v>
      </c>
      <c r="C48" s="164">
        <v>198</v>
      </c>
      <c r="D48" s="164">
        <v>229</v>
      </c>
      <c r="E48" s="164">
        <v>262</v>
      </c>
      <c r="F48" s="164">
        <v>289</v>
      </c>
      <c r="G48" s="192"/>
      <c r="I48" s="164">
        <v>389</v>
      </c>
      <c r="J48" s="164">
        <v>366</v>
      </c>
      <c r="K48" s="164">
        <v>442</v>
      </c>
      <c r="L48" s="164">
        <v>503</v>
      </c>
      <c r="M48" s="192"/>
      <c r="O48" s="164">
        <v>449</v>
      </c>
      <c r="P48" s="164">
        <v>549</v>
      </c>
      <c r="Q48" s="164">
        <v>586</v>
      </c>
      <c r="R48" s="164">
        <v>459</v>
      </c>
      <c r="S48" s="192"/>
      <c r="U48" s="164">
        <v>340</v>
      </c>
      <c r="V48" s="164">
        <v>383</v>
      </c>
      <c r="W48" s="164">
        <v>245</v>
      </c>
      <c r="X48" s="164">
        <v>106</v>
      </c>
      <c r="Y48" s="192"/>
      <c r="AA48" s="193">
        <v>97</v>
      </c>
      <c r="AB48" s="194">
        <v>179</v>
      </c>
      <c r="AC48" s="193">
        <v>297</v>
      </c>
      <c r="AD48" s="195">
        <v>291</v>
      </c>
      <c r="AE48" s="192"/>
      <c r="AG48" s="193">
        <v>305</v>
      </c>
      <c r="AH48" s="196">
        <v>274</v>
      </c>
      <c r="AI48" s="193">
        <v>270</v>
      </c>
      <c r="AJ48" s="195">
        <v>297</v>
      </c>
      <c r="AK48" s="192"/>
      <c r="AM48" s="194">
        <f>+Valuation!AG9</f>
        <v>309</v>
      </c>
      <c r="AN48" s="194">
        <f>+Valuation!AH9</f>
        <v>329</v>
      </c>
      <c r="AO48" s="194">
        <f>+Valuation!AI9</f>
        <v>202</v>
      </c>
      <c r="AP48" s="194">
        <f>+Valuation!AJ9</f>
        <v>191</v>
      </c>
      <c r="AQ48" s="192"/>
      <c r="AS48" s="194">
        <f>+Valuation!AL9</f>
        <v>254</v>
      </c>
      <c r="AT48" s="194">
        <v>190</v>
      </c>
      <c r="AU48" s="194">
        <v>202</v>
      </c>
      <c r="AV48" s="194">
        <v>204</v>
      </c>
      <c r="AW48" s="192"/>
      <c r="AY48" s="194">
        <f>+Valuation!AQ9</f>
        <v>216</v>
      </c>
      <c r="AZ48" s="194">
        <f>+Valuation!AR9</f>
        <v>208</v>
      </c>
      <c r="BA48" s="196">
        <f>+Valuation!AS9</f>
        <v>274</v>
      </c>
      <c r="BB48" s="196">
        <f>+Valuation!AT9</f>
        <v>268</v>
      </c>
      <c r="BC48" s="165"/>
      <c r="BE48" s="194">
        <f>+Valuation!AV9</f>
        <v>314</v>
      </c>
      <c r="BF48" s="194">
        <f>+Valuation!AW9</f>
        <v>374</v>
      </c>
      <c r="BG48" s="196">
        <v>325</v>
      </c>
      <c r="BH48" s="196">
        <v>332</v>
      </c>
      <c r="BI48" s="192"/>
      <c r="BK48" s="194">
        <f>+Valuation!BA9</f>
        <v>445</v>
      </c>
      <c r="BL48" s="194">
        <f>+Valuation!BB9</f>
        <v>384</v>
      </c>
      <c r="BM48" s="196">
        <v>352</v>
      </c>
      <c r="BN48" s="196">
        <v>357</v>
      </c>
      <c r="BO48" s="192"/>
      <c r="BQ48" s="194">
        <v>378</v>
      </c>
      <c r="BR48" s="194">
        <v>337</v>
      </c>
      <c r="BS48" s="196">
        <v>427</v>
      </c>
      <c r="BT48" s="196">
        <v>499</v>
      </c>
      <c r="BU48" s="192"/>
      <c r="BW48" s="194">
        <v>512</v>
      </c>
      <c r="BX48" s="194">
        <v>522</v>
      </c>
      <c r="BY48" s="196">
        <v>539</v>
      </c>
      <c r="BZ48" s="196">
        <v>283</v>
      </c>
      <c r="CA48" s="192"/>
      <c r="CC48" s="194">
        <v>197</v>
      </c>
      <c r="CD48" s="194">
        <v>175</v>
      </c>
      <c r="CE48" s="196">
        <v>167</v>
      </c>
      <c r="CF48" s="196">
        <v>89</v>
      </c>
      <c r="CG48" s="192"/>
      <c r="CI48" s="194">
        <v>118</v>
      </c>
      <c r="CJ48" s="194">
        <v>101</v>
      </c>
      <c r="CK48" s="196">
        <v>133</v>
      </c>
      <c r="CL48" s="196">
        <v>161</v>
      </c>
      <c r="CM48" s="192"/>
    </row>
    <row r="49" spans="1:91" ht="11.1" customHeight="1" x14ac:dyDescent="0.2">
      <c r="A49" s="149" t="s">
        <v>142</v>
      </c>
      <c r="AC49" s="20"/>
      <c r="AD49" s="20"/>
      <c r="AG49" s="20"/>
      <c r="AH49" s="20"/>
      <c r="BP49" s="147"/>
      <c r="BQ49" s="147" t="s">
        <v>170</v>
      </c>
      <c r="CF49" s="237"/>
      <c r="CG49" s="237"/>
      <c r="CL49" s="237"/>
      <c r="CM49" s="237"/>
    </row>
    <row r="50" spans="1:91" ht="11.1" customHeight="1" x14ac:dyDescent="0.2">
      <c r="A50" s="149" t="s">
        <v>143</v>
      </c>
      <c r="J50" s="7"/>
      <c r="P50" s="7"/>
      <c r="U50" s="7"/>
      <c r="V50" s="7"/>
      <c r="W50" s="7"/>
      <c r="X50" s="7"/>
      <c r="AA50" s="7"/>
      <c r="AB50" s="7"/>
      <c r="AC50" s="20"/>
      <c r="AD50" s="20"/>
      <c r="AG50" s="20"/>
      <c r="AH50" s="20"/>
      <c r="AI50" s="20"/>
      <c r="AJ50" s="7"/>
      <c r="BP50" s="147"/>
      <c r="BQ50" s="147" t="s">
        <v>171</v>
      </c>
    </row>
    <row r="51" spans="1:91" ht="11.1" customHeight="1" x14ac:dyDescent="0.2">
      <c r="A51" s="149" t="s">
        <v>141</v>
      </c>
      <c r="P51" s="7"/>
      <c r="U51" s="21"/>
      <c r="V51" s="21"/>
      <c r="W51" s="21"/>
      <c r="X51" s="21"/>
      <c r="AA51" s="21"/>
      <c r="AB51" s="21"/>
      <c r="AC51" s="21"/>
      <c r="AD51" s="21"/>
      <c r="AG51" s="22"/>
      <c r="AH51" s="22"/>
      <c r="AI51" s="22"/>
      <c r="AJ51" s="21"/>
    </row>
    <row r="52" spans="1:91" x14ac:dyDescent="0.2">
      <c r="J52" s="15"/>
      <c r="P52" s="15"/>
      <c r="V52" s="15"/>
    </row>
  </sheetData>
  <mergeCells count="30"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2:G2"/>
    <mergeCell ref="C1:G1"/>
    <mergeCell ref="O2:S2"/>
    <mergeCell ref="I1:M1"/>
    <mergeCell ref="I2:M2"/>
    <mergeCell ref="O1:S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  <ignoredErrors>
    <ignoredError sqref="BO12:CM13 BO15:CM20 BO14:CK14 CM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51"/>
  <sheetViews>
    <sheetView showGridLines="0" zoomScaleNormal="100" zoomScaleSheetLayoutView="85" workbookViewId="0">
      <pane xSplit="1" ySplit="3" topLeftCell="BK4" activePane="bottomRight" state="frozen"/>
      <selection activeCell="O4" sqref="O4"/>
      <selection pane="topRight" activeCell="O4" sqref="O4"/>
      <selection pane="bottomLeft" activeCell="O4" sqref="O4"/>
      <selection pane="bottomRight" activeCell="BX1" sqref="BX1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16384" width="9.140625" style="15"/>
  </cols>
  <sheetData>
    <row r="1" spans="1:76" x14ac:dyDescent="0.2">
      <c r="B1" s="93"/>
      <c r="C1" s="243"/>
      <c r="D1" s="243"/>
      <c r="E1" s="243"/>
      <c r="F1" s="243"/>
      <c r="G1" s="93"/>
      <c r="H1" s="243"/>
      <c r="I1" s="243"/>
      <c r="J1" s="243"/>
      <c r="K1" s="243"/>
      <c r="L1" s="93"/>
      <c r="M1" s="243"/>
      <c r="N1" s="243"/>
      <c r="O1" s="243"/>
      <c r="P1" s="243"/>
      <c r="Q1" s="93"/>
      <c r="R1" s="243"/>
      <c r="S1" s="243"/>
      <c r="T1" s="243"/>
      <c r="U1" s="243"/>
      <c r="V1" s="93"/>
      <c r="W1" s="243"/>
      <c r="X1" s="243"/>
      <c r="Y1" s="243"/>
      <c r="Z1" s="243"/>
      <c r="AB1" s="243"/>
      <c r="AC1" s="243"/>
      <c r="AD1" s="243"/>
      <c r="AE1" s="243"/>
      <c r="AG1" s="243"/>
      <c r="AH1" s="243"/>
      <c r="AI1" s="243"/>
      <c r="AJ1" s="243"/>
      <c r="AL1" s="243"/>
      <c r="AM1" s="243"/>
      <c r="AN1" s="243"/>
      <c r="AO1" s="243"/>
      <c r="AQ1" s="243"/>
      <c r="AR1" s="243"/>
      <c r="AS1" s="243"/>
      <c r="AT1" s="243"/>
      <c r="AV1" s="243"/>
      <c r="AW1" s="243"/>
      <c r="AX1" s="243"/>
      <c r="AY1" s="243"/>
      <c r="BA1" s="243"/>
      <c r="BB1" s="243"/>
      <c r="BC1" s="243"/>
      <c r="BD1" s="243"/>
      <c r="BF1" s="243"/>
      <c r="BG1" s="243"/>
      <c r="BH1" s="243"/>
      <c r="BI1" s="243"/>
      <c r="BK1" s="242" t="s">
        <v>175</v>
      </c>
      <c r="BL1" s="242"/>
      <c r="BM1" s="242"/>
      <c r="BN1" s="242"/>
      <c r="BO1" s="242"/>
    </row>
    <row r="2" spans="1:76" x14ac:dyDescent="0.2">
      <c r="A2" s="94" t="s">
        <v>162</v>
      </c>
      <c r="B2" s="95"/>
      <c r="C2" s="244" t="s">
        <v>116</v>
      </c>
      <c r="D2" s="245"/>
      <c r="E2" s="245"/>
      <c r="F2" s="245"/>
      <c r="G2" s="95"/>
      <c r="H2" s="244" t="s">
        <v>117</v>
      </c>
      <c r="I2" s="245"/>
      <c r="J2" s="245"/>
      <c r="K2" s="245"/>
      <c r="L2" s="95"/>
      <c r="M2" s="244" t="s">
        <v>118</v>
      </c>
      <c r="N2" s="245"/>
      <c r="O2" s="245"/>
      <c r="P2" s="245"/>
      <c r="Q2" s="95"/>
      <c r="R2" s="244" t="s">
        <v>119</v>
      </c>
      <c r="S2" s="245"/>
      <c r="T2" s="245"/>
      <c r="U2" s="245"/>
      <c r="V2" s="95"/>
      <c r="W2" s="244" t="s">
        <v>120</v>
      </c>
      <c r="X2" s="245"/>
      <c r="Y2" s="245"/>
      <c r="Z2" s="245"/>
      <c r="AB2" s="244" t="s">
        <v>121</v>
      </c>
      <c r="AC2" s="245"/>
      <c r="AD2" s="245"/>
      <c r="AE2" s="245"/>
      <c r="AG2" s="244" t="s">
        <v>126</v>
      </c>
      <c r="AH2" s="245"/>
      <c r="AI2" s="245"/>
      <c r="AJ2" s="245"/>
      <c r="AL2" s="244" t="s">
        <v>125</v>
      </c>
      <c r="AM2" s="245"/>
      <c r="AN2" s="245"/>
      <c r="AO2" s="245"/>
      <c r="AQ2" s="244" t="s">
        <v>124</v>
      </c>
      <c r="AR2" s="245"/>
      <c r="AS2" s="245"/>
      <c r="AT2" s="245"/>
      <c r="AV2" s="244" t="s">
        <v>123</v>
      </c>
      <c r="AW2" s="245"/>
      <c r="AX2" s="245"/>
      <c r="AY2" s="245"/>
      <c r="BA2" s="244" t="s">
        <v>122</v>
      </c>
      <c r="BB2" s="245"/>
      <c r="BC2" s="245"/>
      <c r="BD2" s="245"/>
      <c r="BF2" s="244" t="s">
        <v>140</v>
      </c>
      <c r="BG2" s="245"/>
      <c r="BH2" s="245"/>
      <c r="BI2" s="245"/>
      <c r="BK2" s="244" t="s">
        <v>169</v>
      </c>
      <c r="BL2" s="245"/>
      <c r="BM2" s="245"/>
      <c r="BN2" s="245"/>
      <c r="BP2" s="244" t="s">
        <v>184</v>
      </c>
      <c r="BQ2" s="245"/>
      <c r="BR2" s="245"/>
      <c r="BS2" s="245"/>
      <c r="BU2" s="244" t="s">
        <v>188</v>
      </c>
      <c r="BV2" s="245"/>
      <c r="BW2" s="245"/>
      <c r="BX2" s="245"/>
    </row>
    <row r="3" spans="1:76" s="189" customFormat="1" x14ac:dyDescent="0.2">
      <c r="A3" s="185" t="s">
        <v>127</v>
      </c>
      <c r="B3" s="187"/>
      <c r="C3" s="187" t="s">
        <v>10</v>
      </c>
      <c r="D3" s="187" t="s">
        <v>11</v>
      </c>
      <c r="E3" s="187" t="s">
        <v>12</v>
      </c>
      <c r="F3" s="187" t="s">
        <v>13</v>
      </c>
      <c r="G3" s="187"/>
      <c r="H3" s="187" t="s">
        <v>10</v>
      </c>
      <c r="I3" s="187" t="s">
        <v>11</v>
      </c>
      <c r="J3" s="187" t="s">
        <v>12</v>
      </c>
      <c r="K3" s="187" t="s">
        <v>13</v>
      </c>
      <c r="L3" s="187"/>
      <c r="M3" s="187" t="s">
        <v>10</v>
      </c>
      <c r="N3" s="187" t="s">
        <v>11</v>
      </c>
      <c r="O3" s="187" t="s">
        <v>12</v>
      </c>
      <c r="P3" s="187" t="s">
        <v>13</v>
      </c>
      <c r="Q3" s="187"/>
      <c r="R3" s="187" t="s">
        <v>10</v>
      </c>
      <c r="S3" s="187" t="s">
        <v>11</v>
      </c>
      <c r="T3" s="187" t="s">
        <v>12</v>
      </c>
      <c r="U3" s="187" t="s">
        <v>13</v>
      </c>
      <c r="V3" s="187"/>
      <c r="W3" s="187" t="s">
        <v>10</v>
      </c>
      <c r="X3" s="187" t="s">
        <v>11</v>
      </c>
      <c r="Y3" s="187" t="s">
        <v>12</v>
      </c>
      <c r="Z3" s="187" t="s">
        <v>13</v>
      </c>
      <c r="AB3" s="187" t="s">
        <v>10</v>
      </c>
      <c r="AC3" s="187" t="s">
        <v>11</v>
      </c>
      <c r="AD3" s="187" t="s">
        <v>12</v>
      </c>
      <c r="AE3" s="187" t="s">
        <v>13</v>
      </c>
      <c r="AG3" s="187" t="s">
        <v>10</v>
      </c>
      <c r="AH3" s="187" t="s">
        <v>11</v>
      </c>
      <c r="AI3" s="187" t="s">
        <v>12</v>
      </c>
      <c r="AJ3" s="187" t="s">
        <v>13</v>
      </c>
      <c r="AL3" s="187" t="s">
        <v>10</v>
      </c>
      <c r="AM3" s="187" t="s">
        <v>11</v>
      </c>
      <c r="AN3" s="187" t="s">
        <v>12</v>
      </c>
      <c r="AO3" s="187" t="s">
        <v>13</v>
      </c>
      <c r="AQ3" s="187" t="s">
        <v>10</v>
      </c>
      <c r="AR3" s="187" t="s">
        <v>11</v>
      </c>
      <c r="AS3" s="187" t="s">
        <v>12</v>
      </c>
      <c r="AT3" s="187" t="s">
        <v>13</v>
      </c>
      <c r="AV3" s="187" t="s">
        <v>10</v>
      </c>
      <c r="AW3" s="188" t="s">
        <v>11</v>
      </c>
      <c r="AX3" s="188" t="s">
        <v>12</v>
      </c>
      <c r="AY3" s="188" t="s">
        <v>13</v>
      </c>
      <c r="AZ3" s="190"/>
      <c r="BA3" s="188" t="s">
        <v>10</v>
      </c>
      <c r="BB3" s="188" t="s">
        <v>11</v>
      </c>
      <c r="BC3" s="188" t="s">
        <v>12</v>
      </c>
      <c r="BD3" s="188" t="s">
        <v>13</v>
      </c>
      <c r="BE3" s="190"/>
      <c r="BF3" s="188" t="s">
        <v>10</v>
      </c>
      <c r="BG3" s="188" t="s">
        <v>11</v>
      </c>
      <c r="BH3" s="188" t="s">
        <v>12</v>
      </c>
      <c r="BI3" s="188" t="s">
        <v>13</v>
      </c>
      <c r="BJ3" s="190"/>
      <c r="BK3" s="188" t="s">
        <v>10</v>
      </c>
      <c r="BL3" s="188" t="s">
        <v>11</v>
      </c>
      <c r="BM3" s="188" t="s">
        <v>12</v>
      </c>
      <c r="BN3" s="188" t="s">
        <v>13</v>
      </c>
      <c r="BP3" s="188" t="s">
        <v>10</v>
      </c>
      <c r="BQ3" s="188" t="s">
        <v>11</v>
      </c>
      <c r="BR3" s="188" t="s">
        <v>12</v>
      </c>
      <c r="BS3" s="188" t="s">
        <v>13</v>
      </c>
      <c r="BU3" s="188" t="s">
        <v>10</v>
      </c>
      <c r="BV3" s="188" t="s">
        <v>11</v>
      </c>
      <c r="BW3" s="188" t="s">
        <v>12</v>
      </c>
      <c r="BX3" s="188" t="s">
        <v>13</v>
      </c>
    </row>
    <row r="4" spans="1:76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</row>
    <row r="5" spans="1:76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</row>
    <row r="6" spans="1:76" x14ac:dyDescent="0.2">
      <c r="A6" s="15" t="s">
        <v>60</v>
      </c>
      <c r="C6" s="202">
        <v>135.03355704697987</v>
      </c>
      <c r="D6" s="203">
        <v>139.19463087248323</v>
      </c>
      <c r="E6" s="202">
        <v>140</v>
      </c>
      <c r="F6" s="203">
        <v>135.70469798657717</v>
      </c>
      <c r="G6" s="204"/>
      <c r="H6" s="202">
        <v>135.9731543624161</v>
      </c>
      <c r="I6" s="203">
        <v>132.75167785234899</v>
      </c>
      <c r="J6" s="202">
        <v>133.55704697986576</v>
      </c>
      <c r="K6" s="203">
        <v>110.06711409395973</v>
      </c>
      <c r="L6" s="204"/>
      <c r="M6" s="202">
        <v>156.37583892617448</v>
      </c>
      <c r="N6" s="203">
        <v>165.63758389261744</v>
      </c>
      <c r="O6" s="202">
        <v>178.65771812080536</v>
      </c>
      <c r="P6" s="203">
        <v>186.17449664429529</v>
      </c>
      <c r="Q6" s="204"/>
      <c r="R6" s="202">
        <v>192.21476510067114</v>
      </c>
      <c r="S6" s="203">
        <v>202.14765100671141</v>
      </c>
      <c r="T6" s="202">
        <v>212.75167785234899</v>
      </c>
      <c r="U6" s="203">
        <v>212.75167785234899</v>
      </c>
      <c r="V6" s="204"/>
      <c r="W6" s="202">
        <v>220.40268456375838</v>
      </c>
      <c r="X6" s="203">
        <v>215.43624161073825</v>
      </c>
      <c r="Y6" s="202">
        <v>213.55704697986576</v>
      </c>
      <c r="Z6" s="203">
        <v>217.58389261744966</v>
      </c>
      <c r="AA6" s="202"/>
      <c r="AB6" s="202">
        <v>225.63758389261744</v>
      </c>
      <c r="AC6" s="203">
        <v>242.41610738255034</v>
      </c>
      <c r="AD6" s="202">
        <v>230.06711409395973</v>
      </c>
      <c r="AE6" s="203">
        <v>237.18120805369128</v>
      </c>
      <c r="AF6" s="202"/>
      <c r="AG6" s="202">
        <v>242.01342281879195</v>
      </c>
      <c r="AH6" s="203">
        <v>243.08724832214764</v>
      </c>
      <c r="AI6" s="202">
        <v>256.51006711409394</v>
      </c>
      <c r="AJ6" s="203">
        <v>266.8456375838926</v>
      </c>
      <c r="AK6" s="202"/>
      <c r="AL6" s="202">
        <v>263.48993288590606</v>
      </c>
      <c r="AM6" s="203">
        <v>272.34899328859058</v>
      </c>
      <c r="AN6" s="202">
        <v>271.14093959731542</v>
      </c>
      <c r="AO6" s="203">
        <v>269.53020134228188</v>
      </c>
      <c r="AP6" s="202"/>
      <c r="AQ6" s="202">
        <v>273.42281879194633</v>
      </c>
      <c r="AR6" s="203">
        <v>270.73825503355704</v>
      </c>
      <c r="AS6" s="202">
        <v>270.33557046979865</v>
      </c>
      <c r="AT6" s="203">
        <v>268.59060402684565</v>
      </c>
      <c r="AU6" s="202"/>
      <c r="AV6" s="202">
        <v>271.14093959731542</v>
      </c>
      <c r="AW6" s="203">
        <v>273.55704697986579</v>
      </c>
      <c r="AX6" s="202">
        <v>286.17449664429529</v>
      </c>
      <c r="AY6" s="203">
        <v>291.94630872483219</v>
      </c>
      <c r="AZ6" s="202"/>
      <c r="BA6" s="202">
        <v>311.54362416107381</v>
      </c>
      <c r="BB6" s="203">
        <v>322.14765100671138</v>
      </c>
      <c r="BC6" s="202">
        <v>319.59731543624162</v>
      </c>
      <c r="BD6" s="203">
        <v>333.2</v>
      </c>
      <c r="BE6" s="202"/>
      <c r="BF6" s="202">
        <v>369.2</v>
      </c>
      <c r="BG6" s="203">
        <v>373.5</v>
      </c>
      <c r="BH6" s="202">
        <v>366.1</v>
      </c>
      <c r="BI6" s="203">
        <v>73.5</v>
      </c>
      <c r="BJ6" s="202"/>
      <c r="BK6" s="202">
        <v>576.1</v>
      </c>
      <c r="BL6" s="203">
        <v>574.1</v>
      </c>
      <c r="BM6" s="202">
        <v>594.6</v>
      </c>
      <c r="BN6" s="203">
        <v>597.4</v>
      </c>
      <c r="BO6" s="202"/>
      <c r="BP6" s="202">
        <v>576.6</v>
      </c>
      <c r="BQ6" s="203">
        <v>571.9</v>
      </c>
      <c r="BR6" s="202">
        <v>578.20000000000005</v>
      </c>
      <c r="BS6" s="203">
        <v>589.20000000000005</v>
      </c>
      <c r="BT6" s="202"/>
      <c r="BU6" s="202">
        <v>584</v>
      </c>
      <c r="BV6" s="203">
        <v>582.29999999999995</v>
      </c>
      <c r="BW6" s="202">
        <v>581.1</v>
      </c>
      <c r="BX6" s="203">
        <v>594</v>
      </c>
    </row>
    <row r="7" spans="1:76" x14ac:dyDescent="0.2">
      <c r="A7" s="15" t="s">
        <v>61</v>
      </c>
      <c r="C7" s="202">
        <v>103.22147651006711</v>
      </c>
      <c r="D7" s="203">
        <v>104.56375838926174</v>
      </c>
      <c r="E7" s="202">
        <v>108.05369127516778</v>
      </c>
      <c r="F7" s="203">
        <v>108.05369127516778</v>
      </c>
      <c r="G7" s="204"/>
      <c r="H7" s="202">
        <v>112.88590604026845</v>
      </c>
      <c r="I7" s="203">
        <v>100.67114093959731</v>
      </c>
      <c r="J7" s="202">
        <v>102.95302013422818</v>
      </c>
      <c r="K7" s="203">
        <v>108.59060402684564</v>
      </c>
      <c r="L7" s="204"/>
      <c r="M7" s="202">
        <v>141.87919463087249</v>
      </c>
      <c r="N7" s="203">
        <v>150.20134228187919</v>
      </c>
      <c r="O7" s="202">
        <v>189.79865771812081</v>
      </c>
      <c r="P7" s="203">
        <v>202.41610738255034</v>
      </c>
      <c r="Q7" s="204"/>
      <c r="R7" s="202">
        <v>213.95973154362414</v>
      </c>
      <c r="S7" s="203">
        <v>235.43624161073825</v>
      </c>
      <c r="T7" s="202">
        <v>251.54362416107381</v>
      </c>
      <c r="U7" s="203">
        <v>269.66442953020135</v>
      </c>
      <c r="V7" s="204"/>
      <c r="W7" s="202">
        <v>282.55033557046977</v>
      </c>
      <c r="X7" s="203">
        <v>314.49664429530202</v>
      </c>
      <c r="Y7" s="202">
        <v>342.01342281879192</v>
      </c>
      <c r="Z7" s="203">
        <v>357.98657718120802</v>
      </c>
      <c r="AA7" s="202"/>
      <c r="AB7" s="202">
        <v>396.6442953020134</v>
      </c>
      <c r="AC7" s="203">
        <v>410.33557046979865</v>
      </c>
      <c r="AD7" s="202">
        <v>419.73154362416108</v>
      </c>
      <c r="AE7" s="203">
        <v>432.88590604026842</v>
      </c>
      <c r="AF7" s="202"/>
      <c r="AG7" s="202">
        <v>433.55704697986579</v>
      </c>
      <c r="AH7" s="203">
        <v>437.98657718120802</v>
      </c>
      <c r="AI7" s="202">
        <v>441.744966442953</v>
      </c>
      <c r="AJ7" s="203">
        <v>437.58389261744964</v>
      </c>
      <c r="AK7" s="202"/>
      <c r="AL7" s="202">
        <v>440.53691275167785</v>
      </c>
      <c r="AM7" s="203">
        <v>437.04697986577179</v>
      </c>
      <c r="AN7" s="202">
        <v>435.30201342281879</v>
      </c>
      <c r="AO7" s="203">
        <v>436.51006711409394</v>
      </c>
      <c r="AP7" s="202"/>
      <c r="AQ7" s="202">
        <v>433.28859060402681</v>
      </c>
      <c r="AR7" s="203">
        <v>427.65100671140937</v>
      </c>
      <c r="AS7" s="202">
        <v>426.04026845637583</v>
      </c>
      <c r="AT7" s="203">
        <v>421.20805369127515</v>
      </c>
      <c r="AU7" s="202"/>
      <c r="AV7" s="202">
        <v>414.36241610738256</v>
      </c>
      <c r="AW7" s="203">
        <v>409.39597315436242</v>
      </c>
      <c r="AX7" s="202">
        <v>412.75167785234896</v>
      </c>
      <c r="AY7" s="203">
        <v>407.38255033557044</v>
      </c>
      <c r="AZ7" s="202"/>
      <c r="BA7" s="202">
        <v>410.33557046979865</v>
      </c>
      <c r="BB7" s="203">
        <v>368.05369127516775</v>
      </c>
      <c r="BC7" s="202">
        <v>361.87919463087246</v>
      </c>
      <c r="BD7" s="203">
        <v>367.2</v>
      </c>
      <c r="BE7" s="202"/>
      <c r="BF7" s="202">
        <v>365.5</v>
      </c>
      <c r="BG7" s="203">
        <v>359.3</v>
      </c>
      <c r="BH7" s="202">
        <v>334.4</v>
      </c>
      <c r="BI7" s="203">
        <v>272.8</v>
      </c>
      <c r="BJ7" s="202"/>
      <c r="BK7" s="202">
        <v>627.79999999999995</v>
      </c>
      <c r="BL7" s="203">
        <v>720.8</v>
      </c>
      <c r="BM7" s="202">
        <v>709.1</v>
      </c>
      <c r="BN7" s="203">
        <v>698.9</v>
      </c>
      <c r="BO7" s="202"/>
      <c r="BP7" s="202">
        <v>673.2</v>
      </c>
      <c r="BQ7" s="203">
        <v>656.2</v>
      </c>
      <c r="BR7" s="202">
        <v>651.20000000000005</v>
      </c>
      <c r="BS7" s="203">
        <v>645.20000000000005</v>
      </c>
      <c r="BT7" s="202"/>
      <c r="BU7" s="202">
        <v>625.5</v>
      </c>
      <c r="BV7" s="203">
        <v>615.79999999999995</v>
      </c>
      <c r="BW7" s="202">
        <v>602.9</v>
      </c>
      <c r="BX7" s="203">
        <v>604.1</v>
      </c>
    </row>
    <row r="8" spans="1:76" x14ac:dyDescent="0.2">
      <c r="A8" s="15" t="s">
        <v>190</v>
      </c>
      <c r="C8" s="202"/>
      <c r="D8" s="203"/>
      <c r="E8" s="202"/>
      <c r="F8" s="203"/>
      <c r="G8" s="204"/>
      <c r="H8" s="202"/>
      <c r="I8" s="203"/>
      <c r="J8" s="202"/>
      <c r="K8" s="203"/>
      <c r="L8" s="204"/>
      <c r="M8" s="202"/>
      <c r="N8" s="203"/>
      <c r="O8" s="202"/>
      <c r="P8" s="203"/>
      <c r="Q8" s="204"/>
      <c r="R8" s="202"/>
      <c r="S8" s="203"/>
      <c r="T8" s="202"/>
      <c r="U8" s="203"/>
      <c r="V8" s="204"/>
      <c r="W8" s="202"/>
      <c r="X8" s="203"/>
      <c r="Y8" s="202"/>
      <c r="Z8" s="203"/>
      <c r="AA8" s="202"/>
      <c r="AB8" s="202"/>
      <c r="AC8" s="203"/>
      <c r="AD8" s="202"/>
      <c r="AE8" s="203"/>
      <c r="AF8" s="202"/>
      <c r="AG8" s="202"/>
      <c r="AH8" s="203"/>
      <c r="AI8" s="202"/>
      <c r="AJ8" s="203"/>
      <c r="AK8" s="202"/>
      <c r="AL8" s="202"/>
      <c r="AM8" s="203"/>
      <c r="AN8" s="202"/>
      <c r="AO8" s="203"/>
      <c r="AP8" s="202"/>
      <c r="AQ8" s="202"/>
      <c r="AR8" s="203"/>
      <c r="AS8" s="202"/>
      <c r="AT8" s="203"/>
      <c r="AU8" s="202"/>
      <c r="AV8" s="202"/>
      <c r="AW8" s="203"/>
      <c r="AX8" s="202"/>
      <c r="AY8" s="203"/>
      <c r="AZ8" s="202"/>
      <c r="BA8" s="202"/>
      <c r="BB8" s="203"/>
      <c r="BC8" s="202"/>
      <c r="BD8" s="203"/>
      <c r="BE8" s="202"/>
      <c r="BF8" s="202"/>
      <c r="BG8" s="203"/>
      <c r="BH8" s="202"/>
      <c r="BI8" s="203"/>
      <c r="BJ8" s="202"/>
      <c r="BK8" s="202"/>
      <c r="BL8" s="203"/>
      <c r="BM8" s="202"/>
      <c r="BN8" s="203"/>
      <c r="BO8" s="202"/>
      <c r="BP8" s="202"/>
      <c r="BQ8" s="203"/>
      <c r="BR8" s="202"/>
      <c r="BS8" s="203"/>
      <c r="BT8" s="202"/>
      <c r="BU8" s="202">
        <v>35.4</v>
      </c>
      <c r="BV8" s="203">
        <v>33.799999999999997</v>
      </c>
      <c r="BW8" s="202">
        <v>32.4</v>
      </c>
      <c r="BX8" s="203">
        <v>37.200000000000003</v>
      </c>
    </row>
    <row r="9" spans="1:76" s="98" customFormat="1" x14ac:dyDescent="0.2">
      <c r="A9" s="98" t="s">
        <v>62</v>
      </c>
      <c r="B9" s="99"/>
      <c r="C9" s="205">
        <v>54.228187919463089</v>
      </c>
      <c r="D9" s="206">
        <v>52.75167785234899</v>
      </c>
      <c r="E9" s="205">
        <v>50.604026845637584</v>
      </c>
      <c r="F9" s="206">
        <v>53.020134228187921</v>
      </c>
      <c r="G9" s="207"/>
      <c r="H9" s="205">
        <v>55.302013422818789</v>
      </c>
      <c r="I9" s="206">
        <v>56.510067114093957</v>
      </c>
      <c r="J9" s="205">
        <v>54.899328859060404</v>
      </c>
      <c r="K9" s="206">
        <v>74.630872483221481</v>
      </c>
      <c r="L9" s="207"/>
      <c r="M9" s="205">
        <v>73.422818791946312</v>
      </c>
      <c r="N9" s="206">
        <v>74.765100671140942</v>
      </c>
      <c r="O9" s="205">
        <v>81.208053691275168</v>
      </c>
      <c r="P9" s="206">
        <v>72.617449664429529</v>
      </c>
      <c r="Q9" s="207"/>
      <c r="R9" s="205">
        <v>77.449664429530202</v>
      </c>
      <c r="S9" s="206">
        <v>89.798657718120808</v>
      </c>
      <c r="T9" s="205">
        <v>96.510067114093957</v>
      </c>
      <c r="U9" s="206">
        <v>97.718120805369125</v>
      </c>
      <c r="V9" s="207"/>
      <c r="W9" s="205">
        <v>102.95302013422818</v>
      </c>
      <c r="X9" s="206">
        <v>108.45637583892618</v>
      </c>
      <c r="Y9" s="205">
        <v>113.15436241610738</v>
      </c>
      <c r="Z9" s="206">
        <v>118.65771812080537</v>
      </c>
      <c r="AA9" s="205"/>
      <c r="AB9" s="205">
        <v>120.93959731543625</v>
      </c>
      <c r="AC9" s="206">
        <v>114.496644295302</v>
      </c>
      <c r="AD9" s="205">
        <v>112.48322147651007</v>
      </c>
      <c r="AE9" s="206">
        <v>130.46979865771812</v>
      </c>
      <c r="AF9" s="205"/>
      <c r="AG9" s="205">
        <v>131.6778523489933</v>
      </c>
      <c r="AH9" s="206">
        <v>133.02013422818791</v>
      </c>
      <c r="AI9" s="205">
        <v>143.62416107382549</v>
      </c>
      <c r="AJ9" s="206">
        <v>170.46979865771812</v>
      </c>
      <c r="AK9" s="205"/>
      <c r="AL9" s="205">
        <v>89.127516778523486</v>
      </c>
      <c r="AM9" s="206">
        <v>90.469798657718115</v>
      </c>
      <c r="AN9" s="205">
        <v>87.785234899328856</v>
      </c>
      <c r="AO9" s="206">
        <v>104.56375838926174</v>
      </c>
      <c r="AP9" s="205"/>
      <c r="AQ9" s="205">
        <v>107.38255033557047</v>
      </c>
      <c r="AR9" s="206">
        <v>103.89261744966443</v>
      </c>
      <c r="AS9" s="205">
        <v>96.107382550335572</v>
      </c>
      <c r="AT9" s="206">
        <v>103.22147651006711</v>
      </c>
      <c r="AU9" s="205"/>
      <c r="AV9" s="205">
        <v>90.469798657718115</v>
      </c>
      <c r="AW9" s="206">
        <v>102.14765100671141</v>
      </c>
      <c r="AX9" s="205">
        <v>107.38255033557047</v>
      </c>
      <c r="AY9" s="206">
        <v>101.87919463087248</v>
      </c>
      <c r="AZ9" s="205"/>
      <c r="BA9" s="205">
        <v>95.302013422818789</v>
      </c>
      <c r="BB9" s="206">
        <v>85.637583892617442</v>
      </c>
      <c r="BC9" s="205">
        <v>89.664429530201346</v>
      </c>
      <c r="BD9" s="206">
        <v>86.6</v>
      </c>
      <c r="BE9" s="205"/>
      <c r="BF9" s="205">
        <v>84.6</v>
      </c>
      <c r="BG9" s="206">
        <v>85.8</v>
      </c>
      <c r="BH9" s="205">
        <v>84.5</v>
      </c>
      <c r="BI9" s="206">
        <v>36</v>
      </c>
      <c r="BJ9" s="205"/>
      <c r="BK9" s="205">
        <v>43.1</v>
      </c>
      <c r="BL9" s="206">
        <v>49.6</v>
      </c>
      <c r="BM9" s="205">
        <v>52.1</v>
      </c>
      <c r="BN9" s="206">
        <v>51.9</v>
      </c>
      <c r="BO9" s="205"/>
      <c r="BP9" s="205">
        <v>56.3</v>
      </c>
      <c r="BQ9" s="206">
        <v>57.8</v>
      </c>
      <c r="BR9" s="205">
        <v>64.8</v>
      </c>
      <c r="BS9" s="206">
        <v>29.7</v>
      </c>
      <c r="BT9" s="205"/>
      <c r="BU9" s="205">
        <v>37.1</v>
      </c>
      <c r="BV9" s="206">
        <v>43.3</v>
      </c>
      <c r="BW9" s="205">
        <v>37.9</v>
      </c>
      <c r="BX9" s="206">
        <v>51.7</v>
      </c>
    </row>
    <row r="10" spans="1:76" s="100" customFormat="1" x14ac:dyDescent="0.2">
      <c r="A10" s="100" t="s">
        <v>63</v>
      </c>
      <c r="B10" s="101"/>
      <c r="C10" s="208">
        <f>SUM(C6:C9)</f>
        <v>292.48322147651004</v>
      </c>
      <c r="D10" s="209">
        <f>SUM(D6:D9)</f>
        <v>296.510067114094</v>
      </c>
      <c r="E10" s="208">
        <f>SUM(E6:E9)</f>
        <v>298.65771812080538</v>
      </c>
      <c r="F10" s="209">
        <f>SUM(F6:F9)</f>
        <v>296.77852348993287</v>
      </c>
      <c r="G10" s="210"/>
      <c r="H10" s="208">
        <f>SUM(H6:H9)</f>
        <v>304.16107382550331</v>
      </c>
      <c r="I10" s="209">
        <f>SUM(I6:I9)</f>
        <v>289.93288590604027</v>
      </c>
      <c r="J10" s="208">
        <f>SUM(J6:J9)</f>
        <v>291.40939597315435</v>
      </c>
      <c r="K10" s="209">
        <f>SUM(K6:K9)</f>
        <v>293.28859060402687</v>
      </c>
      <c r="L10" s="210"/>
      <c r="M10" s="208">
        <f>SUM(M6:M9)</f>
        <v>371.67785234899333</v>
      </c>
      <c r="N10" s="209">
        <f>SUM(N6:N9)</f>
        <v>390.60402684563758</v>
      </c>
      <c r="O10" s="208">
        <f>SUM(O6:O9)</f>
        <v>449.66442953020135</v>
      </c>
      <c r="P10" s="209">
        <f>SUM(P6:P9)</f>
        <v>461.20805369127515</v>
      </c>
      <c r="Q10" s="210"/>
      <c r="R10" s="208">
        <f>SUM(R6:R9)</f>
        <v>483.62416107382546</v>
      </c>
      <c r="S10" s="209">
        <f>SUM(S6:S9)</f>
        <v>527.3825503355705</v>
      </c>
      <c r="T10" s="208">
        <f>SUM(T6:T9)</f>
        <v>560.80536912751677</v>
      </c>
      <c r="U10" s="209">
        <f>SUM(U6:U9)</f>
        <v>580.13422818791946</v>
      </c>
      <c r="V10" s="210"/>
      <c r="W10" s="208">
        <f>SUM(W6:W9)</f>
        <v>605.90604026845631</v>
      </c>
      <c r="X10" s="209">
        <f>SUM(X6:X9)</f>
        <v>638.38926174496646</v>
      </c>
      <c r="Y10" s="208">
        <f>SUM(Y6:Y9)</f>
        <v>668.724832214765</v>
      </c>
      <c r="Z10" s="209">
        <f>SUM(Z6:Z9)</f>
        <v>694.22818791946304</v>
      </c>
      <c r="AA10" s="208"/>
      <c r="AB10" s="208">
        <f>SUM(AB6:AB9)</f>
        <v>743.22147651006708</v>
      </c>
      <c r="AC10" s="209">
        <f>SUM(AC6:AC9)</f>
        <v>767.24832214765092</v>
      </c>
      <c r="AD10" s="208">
        <f>SUM(AD6:AD9)</f>
        <v>762.28187919463085</v>
      </c>
      <c r="AE10" s="209">
        <f>SUM(AE6:AE9)</f>
        <v>800.53691275167785</v>
      </c>
      <c r="AF10" s="208"/>
      <c r="AG10" s="208">
        <f>SUM(AG6:AG9)</f>
        <v>807.24832214765104</v>
      </c>
      <c r="AH10" s="209">
        <f>SUM(AH6:AH9)</f>
        <v>814.09395973154358</v>
      </c>
      <c r="AI10" s="208">
        <f>SUM(AI6:AI9)</f>
        <v>841.87919463087246</v>
      </c>
      <c r="AJ10" s="209">
        <f>SUM(AJ6:AJ9)</f>
        <v>874.89932885906035</v>
      </c>
      <c r="AK10" s="208"/>
      <c r="AL10" s="208">
        <f>SUM(AL6:AL9)</f>
        <v>793.15436241610735</v>
      </c>
      <c r="AM10" s="209">
        <f>SUM(AM6:AM9)</f>
        <v>799.86577181208042</v>
      </c>
      <c r="AN10" s="208">
        <f>SUM(AN6:AN9)</f>
        <v>794.22818791946304</v>
      </c>
      <c r="AO10" s="209">
        <f>SUM(AO6:AO9)</f>
        <v>810.60402684563746</v>
      </c>
      <c r="AP10" s="208"/>
      <c r="AQ10" s="208">
        <f>SUM(AQ6:AQ9)</f>
        <v>814.09395973154358</v>
      </c>
      <c r="AR10" s="209">
        <f>SUM(AR6:AR9)</f>
        <v>802.28187919463085</v>
      </c>
      <c r="AS10" s="208">
        <f>SUM(AS6:AS9)</f>
        <v>792.48322147651015</v>
      </c>
      <c r="AT10" s="209">
        <f>SUM(AT6:AT9)</f>
        <v>793.02013422818789</v>
      </c>
      <c r="AU10" s="208"/>
      <c r="AV10" s="208">
        <f>SUM(AV6:AV9)</f>
        <v>775.97315436241604</v>
      </c>
      <c r="AW10" s="209">
        <f>SUM(AW6:AW9)</f>
        <v>785.10067114093954</v>
      </c>
      <c r="AX10" s="208">
        <f>SUM(AX6:AX9)</f>
        <v>806.30872483221481</v>
      </c>
      <c r="AY10" s="209">
        <f>SUM(AY6:AY9)</f>
        <v>801.20805369127515</v>
      </c>
      <c r="AZ10" s="208"/>
      <c r="BA10" s="208">
        <f>SUM(BA6:BA9)</f>
        <v>817.18120805369131</v>
      </c>
      <c r="BB10" s="209">
        <f>SUM(BB6:BB9)</f>
        <v>775.83892617449646</v>
      </c>
      <c r="BC10" s="211">
        <f>SUM(BC6:BC9)</f>
        <v>771.14093959731542</v>
      </c>
      <c r="BD10" s="209">
        <f>SUM(BD6:BD9)</f>
        <v>787</v>
      </c>
      <c r="BE10" s="208"/>
      <c r="BF10" s="208">
        <f>SUM(BF6:BF9)</f>
        <v>819.30000000000007</v>
      </c>
      <c r="BG10" s="209">
        <f>SUM(BG6:BG9)</f>
        <v>818.59999999999991</v>
      </c>
      <c r="BH10" s="208">
        <f>SUM(BH6:BH9)</f>
        <v>785</v>
      </c>
      <c r="BI10" s="209">
        <f>SUM(BI6:BI9)</f>
        <v>382.3</v>
      </c>
      <c r="BJ10" s="208"/>
      <c r="BK10" s="208">
        <f>SUM(BK6:BK9)</f>
        <v>1247</v>
      </c>
      <c r="BL10" s="209">
        <f>SUM(BL6:BL9)</f>
        <v>1344.5</v>
      </c>
      <c r="BM10" s="208">
        <f>SUM(BM6:BM9)</f>
        <v>1355.8</v>
      </c>
      <c r="BN10" s="209">
        <f>SUM(BN6:BN9)</f>
        <v>1348.2</v>
      </c>
      <c r="BO10" s="208"/>
      <c r="BP10" s="208">
        <f>SUM(BP6:BP9)</f>
        <v>1306.1000000000001</v>
      </c>
      <c r="BQ10" s="209">
        <f>SUM(BQ6:BQ9)</f>
        <v>1285.8999999999999</v>
      </c>
      <c r="BR10" s="208">
        <f>SUM(BR6:BR9)</f>
        <v>1294.2</v>
      </c>
      <c r="BS10" s="209">
        <f>SUM(BS6:BS9)</f>
        <v>1264.1000000000001</v>
      </c>
      <c r="BT10" s="208"/>
      <c r="BU10" s="208">
        <f>SUM(BU6:BU9)</f>
        <v>1282</v>
      </c>
      <c r="BV10" s="209">
        <f>SUM(BV6:BV9)</f>
        <v>1275.1999999999998</v>
      </c>
      <c r="BW10" s="208">
        <f>SUM(BW6:BW9)</f>
        <v>1254.3000000000002</v>
      </c>
      <c r="BX10" s="209">
        <f>SUM(BX6:BX9)</f>
        <v>1287</v>
      </c>
    </row>
    <row r="11" spans="1:76" x14ac:dyDescent="0.2">
      <c r="C11" s="202"/>
      <c r="D11" s="203"/>
      <c r="E11" s="202"/>
      <c r="F11" s="203"/>
      <c r="G11" s="204"/>
      <c r="H11" s="202"/>
      <c r="I11" s="203"/>
      <c r="J11" s="202"/>
      <c r="K11" s="203"/>
      <c r="L11" s="204"/>
      <c r="M11" s="202"/>
      <c r="N11" s="203"/>
      <c r="O11" s="202"/>
      <c r="P11" s="203"/>
      <c r="Q11" s="204"/>
      <c r="R11" s="202"/>
      <c r="S11" s="203"/>
      <c r="T11" s="202"/>
      <c r="U11" s="203"/>
      <c r="V11" s="204"/>
      <c r="W11" s="202"/>
      <c r="X11" s="203"/>
      <c r="Y11" s="202"/>
      <c r="Z11" s="203"/>
      <c r="AA11" s="202"/>
      <c r="AB11" s="202"/>
      <c r="AC11" s="203"/>
      <c r="AD11" s="202"/>
      <c r="AE11" s="203"/>
      <c r="AF11" s="202"/>
      <c r="AG11" s="202"/>
      <c r="AH11" s="203"/>
      <c r="AI11" s="202"/>
      <c r="AJ11" s="203"/>
      <c r="AK11" s="202"/>
      <c r="AL11" s="202"/>
      <c r="AM11" s="203"/>
      <c r="AN11" s="202"/>
      <c r="AO11" s="203"/>
      <c r="AP11" s="202"/>
      <c r="AQ11" s="202"/>
      <c r="AR11" s="203"/>
      <c r="AS11" s="202"/>
      <c r="AT11" s="203"/>
      <c r="AU11" s="202"/>
      <c r="AV11" s="202"/>
      <c r="AW11" s="203"/>
      <c r="AX11" s="202"/>
      <c r="AY11" s="203"/>
      <c r="AZ11" s="202"/>
      <c r="BA11" s="202"/>
      <c r="BB11" s="203"/>
      <c r="BC11" s="202"/>
      <c r="BD11" s="203"/>
      <c r="BE11" s="202"/>
      <c r="BF11" s="202"/>
      <c r="BG11" s="203"/>
      <c r="BH11" s="202"/>
      <c r="BI11" s="203"/>
      <c r="BJ11" s="202"/>
      <c r="BK11" s="202"/>
      <c r="BL11" s="203"/>
      <c r="BM11" s="202"/>
      <c r="BN11" s="203"/>
      <c r="BO11" s="202"/>
      <c r="BP11" s="202"/>
      <c r="BQ11" s="203"/>
      <c r="BR11" s="202"/>
      <c r="BS11" s="203"/>
      <c r="BT11" s="202"/>
      <c r="BU11" s="202"/>
      <c r="BV11" s="203"/>
      <c r="BW11" s="202"/>
      <c r="BX11" s="203"/>
    </row>
    <row r="12" spans="1:76" x14ac:dyDescent="0.2">
      <c r="A12" s="15" t="s">
        <v>64</v>
      </c>
      <c r="C12" s="202">
        <v>201.74496644295303</v>
      </c>
      <c r="D12" s="203">
        <v>203.35570469798657</v>
      </c>
      <c r="E12" s="202">
        <v>208.99328859060401</v>
      </c>
      <c r="F12" s="203">
        <v>217.98657718120805</v>
      </c>
      <c r="G12" s="204"/>
      <c r="H12" s="202">
        <v>240</v>
      </c>
      <c r="I12" s="203">
        <v>256.24161073825502</v>
      </c>
      <c r="J12" s="202">
        <v>273.28859060402687</v>
      </c>
      <c r="K12" s="203">
        <v>254.22818791946307</v>
      </c>
      <c r="L12" s="204"/>
      <c r="M12" s="202">
        <v>298.255033557047</v>
      </c>
      <c r="N12" s="203">
        <v>315.70469798657717</v>
      </c>
      <c r="O12" s="202">
        <v>342.68456375838923</v>
      </c>
      <c r="P12" s="203">
        <v>306.97986577181206</v>
      </c>
      <c r="Q12" s="204"/>
      <c r="R12" s="202">
        <v>354.63087248322148</v>
      </c>
      <c r="S12" s="203">
        <v>361.47651006711408</v>
      </c>
      <c r="T12" s="202">
        <v>365.23489932885906</v>
      </c>
      <c r="U12" s="203">
        <v>299.06040268456377</v>
      </c>
      <c r="V12" s="204"/>
      <c r="W12" s="202">
        <v>311.40939597315435</v>
      </c>
      <c r="X12" s="203">
        <v>288.59060402684565</v>
      </c>
      <c r="Y12" s="202">
        <v>282.95302013422815</v>
      </c>
      <c r="Z12" s="203">
        <v>294.63087248322148</v>
      </c>
      <c r="AA12" s="202"/>
      <c r="AB12" s="202">
        <v>341.61073825503354</v>
      </c>
      <c r="AC12" s="203">
        <v>383.22147651006708</v>
      </c>
      <c r="AD12" s="202">
        <v>388.85906040268458</v>
      </c>
      <c r="AE12" s="203">
        <v>381.20805369127515</v>
      </c>
      <c r="AF12" s="202"/>
      <c r="AG12" s="202">
        <v>457.7181208053691</v>
      </c>
      <c r="AH12" s="203">
        <v>433.82550335570471</v>
      </c>
      <c r="AI12" s="202">
        <v>447.38255033557044</v>
      </c>
      <c r="AJ12" s="203">
        <v>387.78523489932883</v>
      </c>
      <c r="AK12" s="202"/>
      <c r="AL12" s="202">
        <v>446.30872483221475</v>
      </c>
      <c r="AM12" s="203">
        <v>438.79194630872485</v>
      </c>
      <c r="AN12" s="202">
        <v>439.32885906040269</v>
      </c>
      <c r="AO12" s="203">
        <v>368.32214765100673</v>
      </c>
      <c r="AP12" s="202"/>
      <c r="AQ12" s="202">
        <v>455.9731543624161</v>
      </c>
      <c r="AR12" s="203">
        <v>405.50335570469798</v>
      </c>
      <c r="AS12" s="202">
        <v>399.06040268456377</v>
      </c>
      <c r="AT12" s="203">
        <v>356.6442953020134</v>
      </c>
      <c r="AU12" s="202"/>
      <c r="AV12" s="202">
        <v>382.28187919463085</v>
      </c>
      <c r="AW12" s="203">
        <v>371.54362416107381</v>
      </c>
      <c r="AX12" s="202">
        <v>388.05369127516775</v>
      </c>
      <c r="AY12" s="203">
        <v>350.60402684563758</v>
      </c>
      <c r="AZ12" s="202"/>
      <c r="BA12" s="202">
        <v>392.21476510067112</v>
      </c>
      <c r="BB12" s="203">
        <v>405.50335570469798</v>
      </c>
      <c r="BC12" s="202">
        <v>380</v>
      </c>
      <c r="BD12" s="203">
        <v>342.5</v>
      </c>
      <c r="BE12" s="202"/>
      <c r="BF12" s="202">
        <v>370.6</v>
      </c>
      <c r="BG12" s="203">
        <v>393.4</v>
      </c>
      <c r="BH12" s="202">
        <v>349.8</v>
      </c>
      <c r="BI12" s="203">
        <v>142.1</v>
      </c>
      <c r="BJ12" s="202"/>
      <c r="BK12" s="202">
        <v>216.6</v>
      </c>
      <c r="BL12" s="203">
        <v>225.9</v>
      </c>
      <c r="BM12" s="202">
        <v>219.6</v>
      </c>
      <c r="BN12" s="203">
        <v>226.1</v>
      </c>
      <c r="BO12" s="202"/>
      <c r="BP12" s="202">
        <v>247.4</v>
      </c>
      <c r="BQ12" s="203">
        <v>245.7</v>
      </c>
      <c r="BR12" s="202">
        <v>237.2</v>
      </c>
      <c r="BS12" s="203">
        <v>219.8</v>
      </c>
      <c r="BT12" s="202"/>
      <c r="BU12" s="202">
        <v>234.9</v>
      </c>
      <c r="BV12" s="203">
        <v>229.8</v>
      </c>
      <c r="BW12" s="202">
        <v>232</v>
      </c>
      <c r="BX12" s="203">
        <v>229.7</v>
      </c>
    </row>
    <row r="13" spans="1:76" x14ac:dyDescent="0.2">
      <c r="A13" s="15" t="s">
        <v>20</v>
      </c>
      <c r="C13" s="202">
        <v>248.3221476510067</v>
      </c>
      <c r="D13" s="203">
        <v>271.67785234899327</v>
      </c>
      <c r="E13" s="202">
        <v>276.91275167785233</v>
      </c>
      <c r="F13" s="203">
        <v>273.1543624161074</v>
      </c>
      <c r="G13" s="204"/>
      <c r="H13" s="202">
        <v>297.18120805369125</v>
      </c>
      <c r="I13" s="203">
        <v>319.06040268456377</v>
      </c>
      <c r="J13" s="202">
        <v>317.18120805369125</v>
      </c>
      <c r="K13" s="203">
        <v>295.9731543624161</v>
      </c>
      <c r="L13" s="204"/>
      <c r="M13" s="202">
        <v>347.24832214765098</v>
      </c>
      <c r="N13" s="203">
        <v>403.89261744966444</v>
      </c>
      <c r="O13" s="202">
        <v>390.33557046979865</v>
      </c>
      <c r="P13" s="203">
        <v>378.38926174496646</v>
      </c>
      <c r="Q13" s="204"/>
      <c r="R13" s="202">
        <v>395.70469798657717</v>
      </c>
      <c r="S13" s="203">
        <v>425.7718120805369</v>
      </c>
      <c r="T13" s="202">
        <v>403.22147651006708</v>
      </c>
      <c r="U13" s="203">
        <v>375.57046979865771</v>
      </c>
      <c r="V13" s="204"/>
      <c r="W13" s="202">
        <v>361.34228187919462</v>
      </c>
      <c r="X13" s="203">
        <v>371.54362416107381</v>
      </c>
      <c r="Y13" s="202">
        <v>374.36241610738256</v>
      </c>
      <c r="Z13" s="203">
        <v>335.9731543624161</v>
      </c>
      <c r="AA13" s="202"/>
      <c r="AB13" s="202">
        <v>385.63758389261744</v>
      </c>
      <c r="AC13" s="203">
        <v>445.7718120805369</v>
      </c>
      <c r="AD13" s="202">
        <v>478.12080536912748</v>
      </c>
      <c r="AE13" s="203">
        <v>470.46979865771812</v>
      </c>
      <c r="AF13" s="202"/>
      <c r="AG13" s="202">
        <v>534.89932885906035</v>
      </c>
      <c r="AH13" s="203">
        <v>534.76510067114089</v>
      </c>
      <c r="AI13" s="202">
        <v>509.53020134228188</v>
      </c>
      <c r="AJ13" s="203">
        <v>504.83221476510067</v>
      </c>
      <c r="AK13" s="202"/>
      <c r="AL13" s="202">
        <v>490.06711409395973</v>
      </c>
      <c r="AM13" s="203">
        <v>525.36912751677846</v>
      </c>
      <c r="AN13" s="202">
        <v>501.744966442953</v>
      </c>
      <c r="AO13" s="203">
        <v>508.72483221476512</v>
      </c>
      <c r="AP13" s="202"/>
      <c r="AQ13" s="202">
        <v>512.48322147651004</v>
      </c>
      <c r="AR13" s="203">
        <v>531.00671140939596</v>
      </c>
      <c r="AS13" s="202">
        <v>577.04697986577185</v>
      </c>
      <c r="AT13" s="203">
        <v>544.16107382550331</v>
      </c>
      <c r="AU13" s="202"/>
      <c r="AV13" s="202">
        <v>550.60402684563758</v>
      </c>
      <c r="AW13" s="203">
        <v>555.70469798657712</v>
      </c>
      <c r="AX13" s="202">
        <v>567.24832214765104</v>
      </c>
      <c r="AY13" s="203">
        <v>454.09395973154363</v>
      </c>
      <c r="AZ13" s="202"/>
      <c r="BA13" s="202">
        <v>584.96644295302008</v>
      </c>
      <c r="BB13" s="203">
        <v>615.30201342281873</v>
      </c>
      <c r="BC13" s="202">
        <v>546.97986577181211</v>
      </c>
      <c r="BD13" s="203">
        <f>490.7+5.1</f>
        <v>495.8</v>
      </c>
      <c r="BE13" s="202"/>
      <c r="BF13" s="202">
        <v>501.5</v>
      </c>
      <c r="BG13" s="203">
        <v>544.1</v>
      </c>
      <c r="BH13" s="202">
        <v>459.4</v>
      </c>
      <c r="BI13" s="203">
        <v>209.2</v>
      </c>
      <c r="BJ13" s="202"/>
      <c r="BK13" s="202">
        <v>299.60000000000002</v>
      </c>
      <c r="BL13" s="203">
        <v>356.5</v>
      </c>
      <c r="BM13" s="202">
        <v>332.2</v>
      </c>
      <c r="BN13" s="203">
        <f>267.3+16.2+2.1</f>
        <v>285.60000000000002</v>
      </c>
      <c r="BO13" s="202"/>
      <c r="BP13" s="202">
        <f>339.6+0.2</f>
        <v>339.8</v>
      </c>
      <c r="BQ13" s="203">
        <f>383+0.1</f>
        <v>383.1</v>
      </c>
      <c r="BR13" s="202">
        <f>396.6+0.8</f>
        <v>397.40000000000003</v>
      </c>
      <c r="BS13" s="203">
        <f>339+8+0.1</f>
        <v>347.1</v>
      </c>
      <c r="BT13" s="202"/>
      <c r="BU13" s="202">
        <v>343.5</v>
      </c>
      <c r="BV13" s="203">
        <f>381.5+0.4</f>
        <v>381.9</v>
      </c>
      <c r="BW13" s="202">
        <f>394+0.1</f>
        <v>394.1</v>
      </c>
      <c r="BX13" s="203">
        <f>224+36.7+5+0.1</f>
        <v>265.8</v>
      </c>
    </row>
    <row r="14" spans="1:76" x14ac:dyDescent="0.2">
      <c r="A14" s="15" t="s">
        <v>21</v>
      </c>
      <c r="C14" s="202">
        <v>5.9060402684563753</v>
      </c>
      <c r="D14" s="203">
        <v>4.1610738255033555</v>
      </c>
      <c r="E14" s="202">
        <v>3.8926174496644292</v>
      </c>
      <c r="F14" s="203">
        <v>3.7583892617449663</v>
      </c>
      <c r="G14" s="204"/>
      <c r="H14" s="202">
        <v>3.4899328859060401</v>
      </c>
      <c r="I14" s="203">
        <v>1.8791946308724832</v>
      </c>
      <c r="J14" s="202">
        <v>1.8791946308724832</v>
      </c>
      <c r="K14" s="203">
        <v>6.5771812080536911</v>
      </c>
      <c r="L14" s="204"/>
      <c r="M14" s="202">
        <v>4.9664429530201337</v>
      </c>
      <c r="N14" s="203">
        <v>4.0268456375838921</v>
      </c>
      <c r="O14" s="202">
        <v>3.2214765100671139</v>
      </c>
      <c r="P14" s="203">
        <v>2.4161073825503356</v>
      </c>
      <c r="Q14" s="204"/>
      <c r="R14" s="202">
        <v>1.7449664429530201</v>
      </c>
      <c r="S14" s="203">
        <v>0</v>
      </c>
      <c r="T14" s="202">
        <v>0</v>
      </c>
      <c r="U14" s="203">
        <v>0</v>
      </c>
      <c r="V14" s="204"/>
      <c r="W14" s="202">
        <v>0</v>
      </c>
      <c r="X14" s="203">
        <v>0</v>
      </c>
      <c r="Y14" s="202">
        <v>0</v>
      </c>
      <c r="Z14" s="203">
        <v>0</v>
      </c>
      <c r="AA14" s="202"/>
      <c r="AB14" s="202">
        <v>0</v>
      </c>
      <c r="AC14" s="203">
        <v>0</v>
      </c>
      <c r="AD14" s="202">
        <v>0</v>
      </c>
      <c r="AE14" s="203">
        <v>0</v>
      </c>
      <c r="AF14" s="202"/>
      <c r="AG14" s="202">
        <v>0</v>
      </c>
      <c r="AH14" s="203">
        <v>0</v>
      </c>
      <c r="AI14" s="202">
        <v>0</v>
      </c>
      <c r="AJ14" s="203">
        <v>0</v>
      </c>
      <c r="AK14" s="202"/>
      <c r="AL14" s="202">
        <v>0</v>
      </c>
      <c r="AM14" s="203">
        <v>0</v>
      </c>
      <c r="AN14" s="202">
        <v>0</v>
      </c>
      <c r="AO14" s="203">
        <v>0</v>
      </c>
      <c r="AP14" s="202"/>
      <c r="AQ14" s="202"/>
      <c r="AR14" s="203"/>
      <c r="AS14" s="202"/>
      <c r="AT14" s="203"/>
      <c r="AU14" s="202"/>
      <c r="AV14" s="202"/>
      <c r="AW14" s="203"/>
      <c r="AX14" s="202"/>
      <c r="AY14" s="203"/>
      <c r="AZ14" s="202"/>
      <c r="BA14" s="202"/>
      <c r="BB14" s="203"/>
      <c r="BC14" s="202"/>
      <c r="BD14" s="203"/>
      <c r="BE14" s="202"/>
      <c r="BF14" s="202"/>
      <c r="BG14" s="203"/>
      <c r="BH14" s="202"/>
      <c r="BI14" s="203"/>
      <c r="BJ14" s="202"/>
      <c r="BK14" s="202"/>
      <c r="BL14" s="203"/>
      <c r="BM14" s="202"/>
      <c r="BN14" s="203"/>
      <c r="BO14" s="202"/>
      <c r="BP14" s="202"/>
      <c r="BQ14" s="203"/>
      <c r="BR14" s="202"/>
      <c r="BS14" s="203"/>
      <c r="BT14" s="202"/>
      <c r="BU14" s="202"/>
      <c r="BV14" s="203"/>
      <c r="BW14" s="202"/>
      <c r="BX14" s="203"/>
    </row>
    <row r="15" spans="1:76" s="104" customFormat="1" x14ac:dyDescent="0.2">
      <c r="A15" s="104" t="s">
        <v>22</v>
      </c>
      <c r="B15" s="151"/>
      <c r="C15" s="212">
        <v>46.442953020134226</v>
      </c>
      <c r="D15" s="213">
        <v>33.825503355704697</v>
      </c>
      <c r="E15" s="212">
        <v>30.604026845637584</v>
      </c>
      <c r="F15" s="213">
        <v>37.449664429530202</v>
      </c>
      <c r="G15" s="214"/>
      <c r="H15" s="212">
        <v>21.879194630872483</v>
      </c>
      <c r="I15" s="213">
        <v>61.208053691275168</v>
      </c>
      <c r="J15" s="212">
        <v>41.073825503355707</v>
      </c>
      <c r="K15" s="213">
        <v>136.51006711409394</v>
      </c>
      <c r="L15" s="214"/>
      <c r="M15" s="212">
        <v>50.335570469798654</v>
      </c>
      <c r="N15" s="213">
        <v>38.523489932885909</v>
      </c>
      <c r="O15" s="212">
        <v>43.758389261744966</v>
      </c>
      <c r="P15" s="213">
        <v>72.348993288590606</v>
      </c>
      <c r="Q15" s="214"/>
      <c r="R15" s="212">
        <v>60.268456375838923</v>
      </c>
      <c r="S15" s="213">
        <v>58.65771812080537</v>
      </c>
      <c r="T15" s="212">
        <v>54.496644295302012</v>
      </c>
      <c r="U15" s="213">
        <v>78.791946308724832</v>
      </c>
      <c r="V15" s="214"/>
      <c r="W15" s="212">
        <v>28.053691275167786</v>
      </c>
      <c r="X15" s="213">
        <v>28.859060402684563</v>
      </c>
      <c r="Y15" s="212">
        <v>28.724832214765101</v>
      </c>
      <c r="Z15" s="213">
        <v>34.09395973154362</v>
      </c>
      <c r="AA15" s="212"/>
      <c r="AB15" s="212">
        <v>27.651006711409394</v>
      </c>
      <c r="AC15" s="213">
        <v>32.483221476510067</v>
      </c>
      <c r="AD15" s="212">
        <v>28.859060402684563</v>
      </c>
      <c r="AE15" s="213">
        <v>33.154362416107382</v>
      </c>
      <c r="AF15" s="212"/>
      <c r="AG15" s="212">
        <v>33.691275167785236</v>
      </c>
      <c r="AH15" s="213">
        <v>33.422818791946305</v>
      </c>
      <c r="AI15" s="212">
        <v>27.651006711409394</v>
      </c>
      <c r="AJ15" s="213">
        <v>36.375838926174495</v>
      </c>
      <c r="AK15" s="212"/>
      <c r="AL15" s="212">
        <v>42.281879194630875</v>
      </c>
      <c r="AM15" s="213">
        <v>32.617449664429529</v>
      </c>
      <c r="AN15" s="212">
        <v>37.583892617449663</v>
      </c>
      <c r="AO15" s="213">
        <v>48.724832214765101</v>
      </c>
      <c r="AP15" s="212"/>
      <c r="AQ15" s="212">
        <v>51.140939597315437</v>
      </c>
      <c r="AR15" s="213">
        <v>52.483221476510067</v>
      </c>
      <c r="AS15" s="212">
        <v>48.053691275167786</v>
      </c>
      <c r="AT15" s="213">
        <v>50.469798657718123</v>
      </c>
      <c r="AU15" s="212"/>
      <c r="AV15" s="212">
        <v>54.630872483221474</v>
      </c>
      <c r="AW15" s="213">
        <v>39.463087248322147</v>
      </c>
      <c r="AX15" s="212">
        <v>41.34228187919463</v>
      </c>
      <c r="AY15" s="213">
        <v>50.201342281879192</v>
      </c>
      <c r="AZ15" s="212"/>
      <c r="BA15" s="212">
        <v>57.04697986577181</v>
      </c>
      <c r="BB15" s="213">
        <v>64.026845637583889</v>
      </c>
      <c r="BC15" s="212">
        <v>37.718120805369125</v>
      </c>
      <c r="BD15" s="213">
        <v>58.3</v>
      </c>
      <c r="BE15" s="212"/>
      <c r="BF15" s="212">
        <v>45</v>
      </c>
      <c r="BG15" s="213">
        <v>31.1</v>
      </c>
      <c r="BH15" s="212">
        <v>22.8</v>
      </c>
      <c r="BI15" s="213">
        <v>127.8</v>
      </c>
      <c r="BJ15" s="212"/>
      <c r="BK15" s="212">
        <v>10.6</v>
      </c>
      <c r="BL15" s="213">
        <v>30.6</v>
      </c>
      <c r="BM15" s="212">
        <v>37.299999999999997</v>
      </c>
      <c r="BN15" s="213">
        <v>44.7</v>
      </c>
      <c r="BO15" s="212"/>
      <c r="BP15" s="212">
        <v>30</v>
      </c>
      <c r="BQ15" s="213">
        <v>11.7</v>
      </c>
      <c r="BR15" s="212">
        <v>9.1999999999999993</v>
      </c>
      <c r="BS15" s="213">
        <v>28.2</v>
      </c>
      <c r="BT15" s="212"/>
      <c r="BU15" s="212">
        <v>7.4</v>
      </c>
      <c r="BV15" s="213">
        <v>9</v>
      </c>
      <c r="BW15" s="212">
        <v>5.9</v>
      </c>
      <c r="BX15" s="213">
        <v>6.9</v>
      </c>
    </row>
    <row r="16" spans="1:76" s="98" customFormat="1" x14ac:dyDescent="0.2">
      <c r="A16" s="98" t="s">
        <v>148</v>
      </c>
      <c r="B16" s="99"/>
      <c r="C16" s="205"/>
      <c r="D16" s="206"/>
      <c r="E16" s="205"/>
      <c r="F16" s="206"/>
      <c r="G16" s="207"/>
      <c r="H16" s="205"/>
      <c r="I16" s="206"/>
      <c r="J16" s="205"/>
      <c r="K16" s="206"/>
      <c r="L16" s="207"/>
      <c r="M16" s="205"/>
      <c r="N16" s="206"/>
      <c r="O16" s="205"/>
      <c r="P16" s="206"/>
      <c r="Q16" s="207"/>
      <c r="R16" s="205"/>
      <c r="S16" s="206"/>
      <c r="T16" s="205"/>
      <c r="U16" s="206"/>
      <c r="V16" s="207"/>
      <c r="W16" s="205"/>
      <c r="X16" s="206"/>
      <c r="Y16" s="205"/>
      <c r="Z16" s="206"/>
      <c r="AA16" s="205"/>
      <c r="AB16" s="205"/>
      <c r="AC16" s="206"/>
      <c r="AD16" s="205"/>
      <c r="AE16" s="206"/>
      <c r="AF16" s="205"/>
      <c r="AG16" s="205"/>
      <c r="AH16" s="206"/>
      <c r="AI16" s="205"/>
      <c r="AJ16" s="206"/>
      <c r="AK16" s="205"/>
      <c r="AL16" s="205"/>
      <c r="AM16" s="206"/>
      <c r="AN16" s="205"/>
      <c r="AO16" s="206"/>
      <c r="AP16" s="205"/>
      <c r="AQ16" s="205"/>
      <c r="AR16" s="206"/>
      <c r="AS16" s="205"/>
      <c r="AT16" s="206"/>
      <c r="AU16" s="205"/>
      <c r="AV16" s="205"/>
      <c r="AW16" s="206"/>
      <c r="AX16" s="205"/>
      <c r="AY16" s="206"/>
      <c r="AZ16" s="205"/>
      <c r="BA16" s="205"/>
      <c r="BB16" s="206"/>
      <c r="BC16" s="205"/>
      <c r="BD16" s="206"/>
      <c r="BE16" s="205"/>
      <c r="BF16" s="205"/>
      <c r="BG16" s="206"/>
      <c r="BH16" s="205">
        <v>111.6</v>
      </c>
      <c r="BI16" s="206">
        <f>52.7+833</f>
        <v>885.7</v>
      </c>
      <c r="BJ16" s="205"/>
      <c r="BK16" s="205">
        <f>51.5+857.1</f>
        <v>908.6</v>
      </c>
      <c r="BL16" s="206">
        <v>851.5</v>
      </c>
      <c r="BM16" s="205">
        <v>840.6</v>
      </c>
      <c r="BN16" s="206">
        <v>0</v>
      </c>
      <c r="BO16" s="205"/>
      <c r="BP16" s="205"/>
      <c r="BQ16" s="206"/>
      <c r="BR16" s="205"/>
      <c r="BS16" s="206"/>
      <c r="BT16" s="205"/>
      <c r="BU16" s="205"/>
      <c r="BV16" s="206"/>
      <c r="BW16" s="205"/>
      <c r="BX16" s="206"/>
    </row>
    <row r="17" spans="1:76" s="102" customFormat="1" x14ac:dyDescent="0.2">
      <c r="A17" s="102" t="s">
        <v>23</v>
      </c>
      <c r="B17" s="103"/>
      <c r="C17" s="215">
        <f>SUM(C12:C15)</f>
        <v>502.41610738255031</v>
      </c>
      <c r="D17" s="216">
        <f>SUM(D12:D15)</f>
        <v>513.02013422818789</v>
      </c>
      <c r="E17" s="215">
        <f>SUM(E12:E15)</f>
        <v>520.40268456375838</v>
      </c>
      <c r="F17" s="216">
        <f>SUM(F12:F15)</f>
        <v>532.34899328859058</v>
      </c>
      <c r="G17" s="217"/>
      <c r="H17" s="215">
        <f>SUM(H12:H15)</f>
        <v>562.55033557046977</v>
      </c>
      <c r="I17" s="216">
        <f>SUM(I12:I15)</f>
        <v>638.38926174496646</v>
      </c>
      <c r="J17" s="215">
        <f>SUM(J12:J15)</f>
        <v>633.42281879194627</v>
      </c>
      <c r="K17" s="216">
        <f>SUM(K12:K15)</f>
        <v>693.28859060402692</v>
      </c>
      <c r="L17" s="217"/>
      <c r="M17" s="215">
        <f>SUM(M12:M15)</f>
        <v>700.80536912751666</v>
      </c>
      <c r="N17" s="216">
        <f>SUM(N12:N15)</f>
        <v>762.14765100671138</v>
      </c>
      <c r="O17" s="215">
        <f>SUM(O12:O15)</f>
        <v>779.99999999999989</v>
      </c>
      <c r="P17" s="216">
        <f>SUM(P12:P15)</f>
        <v>760.13422818791935</v>
      </c>
      <c r="Q17" s="217"/>
      <c r="R17" s="215">
        <f>SUM(R12:R15)</f>
        <v>812.34899328859058</v>
      </c>
      <c r="S17" s="216">
        <f>SUM(S12:S15)</f>
        <v>845.90604026845631</v>
      </c>
      <c r="T17" s="215">
        <f>SUM(T12:T15)</f>
        <v>822.95302013422804</v>
      </c>
      <c r="U17" s="216">
        <f>SUM(U12:U15)</f>
        <v>753.42281879194638</v>
      </c>
      <c r="V17" s="217"/>
      <c r="W17" s="215">
        <f>SUM(W12:W15)</f>
        <v>700.80536912751677</v>
      </c>
      <c r="X17" s="216">
        <f>SUM(X12:X15)</f>
        <v>688.99328859060404</v>
      </c>
      <c r="Y17" s="215">
        <f>SUM(Y12:Y15)</f>
        <v>686.04026845637588</v>
      </c>
      <c r="Z17" s="216">
        <f>SUM(Z12:Z15)</f>
        <v>664.69798657718115</v>
      </c>
      <c r="AA17" s="215"/>
      <c r="AB17" s="215">
        <f>SUM(AB12:AB15)</f>
        <v>754.89932885906035</v>
      </c>
      <c r="AC17" s="216">
        <f>SUM(AC12:AC15)</f>
        <v>861.47651006711396</v>
      </c>
      <c r="AD17" s="215">
        <f>SUM(AD12:AD15)</f>
        <v>895.83892617449658</v>
      </c>
      <c r="AE17" s="216">
        <f>SUM(AE12:AE15)</f>
        <v>884.83221476510062</v>
      </c>
      <c r="AF17" s="215"/>
      <c r="AG17" s="215">
        <f>SUM(AG12:AG15)</f>
        <v>1026.3087248322147</v>
      </c>
      <c r="AH17" s="216">
        <f>SUM(AH12:AH15)</f>
        <v>1002.0134228187918</v>
      </c>
      <c r="AI17" s="215">
        <f>SUM(AI12:AI15)</f>
        <v>984.56375838926181</v>
      </c>
      <c r="AJ17" s="216">
        <f>SUM(AJ12:AJ15)</f>
        <v>928.99328859060404</v>
      </c>
      <c r="AK17" s="215"/>
      <c r="AL17" s="215">
        <f>SUM(AL12:AL15)</f>
        <v>978.65771812080538</v>
      </c>
      <c r="AM17" s="216">
        <f>SUM(AM12:AM15)</f>
        <v>996.77852348993281</v>
      </c>
      <c r="AN17" s="215">
        <f>SUM(AN12:AN15)</f>
        <v>978.65771812080538</v>
      </c>
      <c r="AO17" s="216">
        <f>SUM(AO12:AO15)</f>
        <v>925.77181208053696</v>
      </c>
      <c r="AP17" s="215"/>
      <c r="AQ17" s="215">
        <f>SUM(AQ12:AQ15)</f>
        <v>1019.5973154362415</v>
      </c>
      <c r="AR17" s="216">
        <f>SUM(AR12:AR15)</f>
        <v>988.99328859060404</v>
      </c>
      <c r="AS17" s="215">
        <f>SUM(AS12:AS15)</f>
        <v>1024.1610738255033</v>
      </c>
      <c r="AT17" s="216">
        <f>SUM(AT12:AT15)</f>
        <v>951.27516778523488</v>
      </c>
      <c r="AU17" s="215"/>
      <c r="AV17" s="215">
        <f>SUM(AV12:AV15)</f>
        <v>987.51677852348985</v>
      </c>
      <c r="AW17" s="216">
        <f>SUM(AW12:AW15)</f>
        <v>966.71140939597308</v>
      </c>
      <c r="AX17" s="215">
        <f>SUM(AX12:AX15)</f>
        <v>996.64429530201346</v>
      </c>
      <c r="AY17" s="216">
        <f>SUM(AY12:AY15)</f>
        <v>854.89932885906035</v>
      </c>
      <c r="AZ17" s="215"/>
      <c r="BA17" s="215">
        <f>SUM(BA12:BA15)</f>
        <v>1034.2281879194629</v>
      </c>
      <c r="BB17" s="216">
        <f>SUM(BB12:BB15)</f>
        <v>1084.8322147651006</v>
      </c>
      <c r="BC17" s="215">
        <f>SUM(BC12:BC15)</f>
        <v>964.69798657718127</v>
      </c>
      <c r="BD17" s="216">
        <f>SUM(BD12:BD15)</f>
        <v>896.59999999999991</v>
      </c>
      <c r="BE17" s="215"/>
      <c r="BF17" s="215">
        <f>SUM(BF12:BF16)</f>
        <v>917.1</v>
      </c>
      <c r="BG17" s="216">
        <f>SUM(BG12:BG16)</f>
        <v>968.6</v>
      </c>
      <c r="BH17" s="215">
        <f>SUM(BH12:BH16)</f>
        <v>943.6</v>
      </c>
      <c r="BI17" s="216">
        <f>SUM(BI12:BI16)</f>
        <v>1364.8</v>
      </c>
      <c r="BJ17" s="215"/>
      <c r="BK17" s="215">
        <f>SUM(BK12:BK16)</f>
        <v>1435.4</v>
      </c>
      <c r="BL17" s="216">
        <f>SUM(BL12:BL16)</f>
        <v>1464.5</v>
      </c>
      <c r="BM17" s="215">
        <f>SUM(BM12:BM16)</f>
        <v>1429.6999999999998</v>
      </c>
      <c r="BN17" s="216">
        <f>SUM(BN12:BN16)</f>
        <v>556.40000000000009</v>
      </c>
      <c r="BO17" s="215"/>
      <c r="BP17" s="215">
        <f>SUM(BP12:BP16)</f>
        <v>617.20000000000005</v>
      </c>
      <c r="BQ17" s="216">
        <f>SUM(BQ12:BQ16)</f>
        <v>640.5</v>
      </c>
      <c r="BR17" s="215">
        <f>SUM(BR12:BR16)</f>
        <v>643.80000000000007</v>
      </c>
      <c r="BS17" s="216">
        <f>SUM(BS12:BS16)</f>
        <v>595.10000000000014</v>
      </c>
      <c r="BT17" s="215"/>
      <c r="BU17" s="215">
        <f>SUM(BU12:BU16)</f>
        <v>585.79999999999995</v>
      </c>
      <c r="BV17" s="216">
        <f>SUM(BV12:BV16)</f>
        <v>620.70000000000005</v>
      </c>
      <c r="BW17" s="215">
        <f>SUM(BW12:BW16)</f>
        <v>632</v>
      </c>
      <c r="BX17" s="216">
        <f>SUM(BX12:BX16)</f>
        <v>502.4</v>
      </c>
    </row>
    <row r="18" spans="1:76" s="98" customFormat="1" x14ac:dyDescent="0.2">
      <c r="B18" s="99"/>
      <c r="C18" s="205"/>
      <c r="D18" s="206"/>
      <c r="E18" s="205"/>
      <c r="F18" s="206"/>
      <c r="G18" s="207"/>
      <c r="H18" s="205"/>
      <c r="I18" s="206"/>
      <c r="J18" s="205"/>
      <c r="K18" s="206"/>
      <c r="L18" s="207"/>
      <c r="M18" s="205"/>
      <c r="N18" s="206"/>
      <c r="O18" s="205"/>
      <c r="P18" s="206"/>
      <c r="Q18" s="207"/>
      <c r="R18" s="205"/>
      <c r="S18" s="206"/>
      <c r="T18" s="205"/>
      <c r="U18" s="206"/>
      <c r="V18" s="207"/>
      <c r="W18" s="205"/>
      <c r="X18" s="206"/>
      <c r="Y18" s="205"/>
      <c r="Z18" s="206"/>
      <c r="AA18" s="205"/>
      <c r="AB18" s="205"/>
      <c r="AC18" s="206"/>
      <c r="AD18" s="205"/>
      <c r="AE18" s="206"/>
      <c r="AF18" s="205"/>
      <c r="AG18" s="205"/>
      <c r="AH18" s="206"/>
      <c r="AI18" s="205"/>
      <c r="AJ18" s="206"/>
      <c r="AK18" s="205"/>
      <c r="AL18" s="205"/>
      <c r="AM18" s="206"/>
      <c r="AN18" s="205"/>
      <c r="AO18" s="206"/>
      <c r="AP18" s="205"/>
      <c r="AQ18" s="205"/>
      <c r="AR18" s="206"/>
      <c r="AS18" s="205"/>
      <c r="AT18" s="206"/>
      <c r="AU18" s="205"/>
      <c r="AV18" s="205"/>
      <c r="AW18" s="206"/>
      <c r="AX18" s="205"/>
      <c r="AY18" s="206"/>
      <c r="AZ18" s="205"/>
      <c r="BA18" s="205"/>
      <c r="BB18" s="206"/>
      <c r="BC18" s="205"/>
      <c r="BD18" s="206"/>
      <c r="BE18" s="205"/>
      <c r="BF18" s="205"/>
      <c r="BG18" s="206"/>
      <c r="BH18" s="205"/>
      <c r="BI18" s="206"/>
      <c r="BJ18" s="205"/>
      <c r="BK18" s="205"/>
      <c r="BL18" s="206"/>
      <c r="BM18" s="205"/>
      <c r="BN18" s="206"/>
      <c r="BO18" s="205"/>
      <c r="BP18" s="205"/>
      <c r="BQ18" s="206"/>
      <c r="BR18" s="205"/>
      <c r="BS18" s="206"/>
      <c r="BT18" s="205"/>
      <c r="BU18" s="205"/>
      <c r="BV18" s="206"/>
      <c r="BW18" s="205"/>
      <c r="BX18" s="206"/>
    </row>
    <row r="19" spans="1:76" s="100" customFormat="1" x14ac:dyDescent="0.2">
      <c r="A19" s="100" t="s">
        <v>24</v>
      </c>
      <c r="B19" s="101"/>
      <c r="C19" s="208">
        <f>C17+C10</f>
        <v>794.89932885906035</v>
      </c>
      <c r="D19" s="209">
        <f>D17+D10</f>
        <v>809.53020134228188</v>
      </c>
      <c r="E19" s="208">
        <f>E17+E10</f>
        <v>819.06040268456377</v>
      </c>
      <c r="F19" s="209">
        <f>F17+F10</f>
        <v>829.12751677852339</v>
      </c>
      <c r="G19" s="210"/>
      <c r="H19" s="208">
        <f>H17+H10</f>
        <v>866.71140939597308</v>
      </c>
      <c r="I19" s="209">
        <f>I17+I10</f>
        <v>928.32214765100673</v>
      </c>
      <c r="J19" s="208">
        <f>J17+J10</f>
        <v>924.83221476510062</v>
      </c>
      <c r="K19" s="209">
        <f>K17+K10</f>
        <v>986.57718120805384</v>
      </c>
      <c r="L19" s="210"/>
      <c r="M19" s="208">
        <f>M17+M10</f>
        <v>1072.4832214765099</v>
      </c>
      <c r="N19" s="209">
        <f>N17+N10</f>
        <v>1152.7516778523491</v>
      </c>
      <c r="O19" s="208">
        <f>O17+O10</f>
        <v>1229.6644295302012</v>
      </c>
      <c r="P19" s="209">
        <f>P17+P10</f>
        <v>1221.3422818791946</v>
      </c>
      <c r="Q19" s="210"/>
      <c r="R19" s="208">
        <f>R17+R10</f>
        <v>1295.9731543624162</v>
      </c>
      <c r="S19" s="209">
        <f>S17+S10</f>
        <v>1373.2885906040269</v>
      </c>
      <c r="T19" s="208">
        <f>T17+T10</f>
        <v>1383.7583892617449</v>
      </c>
      <c r="U19" s="209">
        <f>U17+U10</f>
        <v>1333.5570469798658</v>
      </c>
      <c r="V19" s="210"/>
      <c r="W19" s="208">
        <f>W17+W10</f>
        <v>1306.7114093959731</v>
      </c>
      <c r="X19" s="209">
        <f>X17+X10</f>
        <v>1327.3825503355706</v>
      </c>
      <c r="Y19" s="208">
        <f>Y17+Y10</f>
        <v>1354.7651006711408</v>
      </c>
      <c r="Z19" s="209">
        <f>Z17+Z10</f>
        <v>1358.9261744966443</v>
      </c>
      <c r="AA19" s="208"/>
      <c r="AB19" s="208">
        <f>AB17+AB10</f>
        <v>1498.1208053691275</v>
      </c>
      <c r="AC19" s="209">
        <f>AC17+AC10</f>
        <v>1628.7248322147648</v>
      </c>
      <c r="AD19" s="208">
        <f>AD17+AD10</f>
        <v>1658.1208053691275</v>
      </c>
      <c r="AE19" s="209">
        <f>AE17+AE10</f>
        <v>1685.3691275167785</v>
      </c>
      <c r="AF19" s="208"/>
      <c r="AG19" s="208">
        <f>AG17+AG10</f>
        <v>1833.5570469798658</v>
      </c>
      <c r="AH19" s="209">
        <f>AH17+AH10</f>
        <v>1816.1073825503354</v>
      </c>
      <c r="AI19" s="208">
        <f>AI17+AI10</f>
        <v>1826.4429530201342</v>
      </c>
      <c r="AJ19" s="209">
        <f>AJ17+AJ10</f>
        <v>1803.8926174496644</v>
      </c>
      <c r="AK19" s="208"/>
      <c r="AL19" s="208">
        <f>AL17+AL10</f>
        <v>1771.8120805369126</v>
      </c>
      <c r="AM19" s="209">
        <f>AM17+AM10</f>
        <v>1796.6442953020132</v>
      </c>
      <c r="AN19" s="208">
        <f>AN17+AN10</f>
        <v>1772.8859060402683</v>
      </c>
      <c r="AO19" s="209">
        <f>AO17+AO10</f>
        <v>1736.3758389261743</v>
      </c>
      <c r="AP19" s="208"/>
      <c r="AQ19" s="208">
        <f>AQ17+AQ10</f>
        <v>1833.6912751677851</v>
      </c>
      <c r="AR19" s="209">
        <f>AR17+AR10</f>
        <v>1791.2751677852348</v>
      </c>
      <c r="AS19" s="208">
        <f>AS17+AS10</f>
        <v>1816.6442953020135</v>
      </c>
      <c r="AT19" s="209">
        <f>AT17+AT10</f>
        <v>1744.2953020134228</v>
      </c>
      <c r="AU19" s="208"/>
      <c r="AV19" s="208">
        <f>AV17+AV10</f>
        <v>1763.489932885906</v>
      </c>
      <c r="AW19" s="209">
        <f>AW17+AW10</f>
        <v>1751.8120805369126</v>
      </c>
      <c r="AX19" s="208">
        <f>AX17+AX10</f>
        <v>1802.9530201342282</v>
      </c>
      <c r="AY19" s="209">
        <f>AY17+AY10</f>
        <v>1656.1073825503354</v>
      </c>
      <c r="AZ19" s="208"/>
      <c r="BA19" s="208">
        <f>BA17+BA10</f>
        <v>1851.4093959731542</v>
      </c>
      <c r="BB19" s="209">
        <f>BB17+BB10</f>
        <v>1860.6711409395971</v>
      </c>
      <c r="BC19" s="208">
        <f>BC17+BC10</f>
        <v>1735.8389261744967</v>
      </c>
      <c r="BD19" s="209">
        <f>BD17+BD10</f>
        <v>1683.6</v>
      </c>
      <c r="BE19" s="208"/>
      <c r="BF19" s="208">
        <f>BF17+BF10</f>
        <v>1736.4</v>
      </c>
      <c r="BG19" s="209">
        <f>BG17+BG10</f>
        <v>1787.1999999999998</v>
      </c>
      <c r="BH19" s="208">
        <f>BH17+BH10</f>
        <v>1728.6</v>
      </c>
      <c r="BI19" s="209">
        <f>BI17+BI10</f>
        <v>1747.1</v>
      </c>
      <c r="BJ19" s="208"/>
      <c r="BK19" s="208">
        <f>BK17+BK10</f>
        <v>2682.4</v>
      </c>
      <c r="BL19" s="209">
        <f>BL17+BL10</f>
        <v>2809</v>
      </c>
      <c r="BM19" s="208">
        <f>BM17+BM10</f>
        <v>2785.5</v>
      </c>
      <c r="BN19" s="209">
        <f>BN17+BN10</f>
        <v>1904.6000000000001</v>
      </c>
      <c r="BO19" s="208"/>
      <c r="BP19" s="208">
        <f>BP17+BP10</f>
        <v>1923.3000000000002</v>
      </c>
      <c r="BQ19" s="209">
        <f>BQ17+BQ10</f>
        <v>1926.3999999999999</v>
      </c>
      <c r="BR19" s="208">
        <f>BR17+BR10</f>
        <v>1938</v>
      </c>
      <c r="BS19" s="209">
        <f>BS17+BS10</f>
        <v>1859.2000000000003</v>
      </c>
      <c r="BT19" s="208"/>
      <c r="BU19" s="208">
        <f>BU17+BU10</f>
        <v>1867.8</v>
      </c>
      <c r="BV19" s="209">
        <f>BV17+BV10</f>
        <v>1895.8999999999999</v>
      </c>
      <c r="BW19" s="208">
        <f>BW17+BW10</f>
        <v>1886.3000000000002</v>
      </c>
      <c r="BX19" s="209">
        <f>BX17+BX10</f>
        <v>1789.4</v>
      </c>
    </row>
    <row r="20" spans="1:76" x14ac:dyDescent="0.2">
      <c r="C20" s="202"/>
      <c r="D20" s="203"/>
      <c r="E20" s="202"/>
      <c r="F20" s="203"/>
      <c r="G20" s="204"/>
      <c r="H20" s="202"/>
      <c r="I20" s="203"/>
      <c r="J20" s="202"/>
      <c r="K20" s="203"/>
      <c r="L20" s="204"/>
      <c r="M20" s="202"/>
      <c r="N20" s="203"/>
      <c r="O20" s="202"/>
      <c r="P20" s="203"/>
      <c r="Q20" s="204"/>
      <c r="R20" s="202"/>
      <c r="S20" s="203"/>
      <c r="T20" s="202"/>
      <c r="U20" s="203"/>
      <c r="V20" s="204"/>
      <c r="W20" s="202"/>
      <c r="X20" s="203"/>
      <c r="Y20" s="202"/>
      <c r="Z20" s="203"/>
      <c r="AA20" s="202"/>
      <c r="AB20" s="202"/>
      <c r="AC20" s="203"/>
      <c r="AD20" s="202"/>
      <c r="AE20" s="203"/>
      <c r="AF20" s="202"/>
      <c r="AG20" s="202"/>
      <c r="AH20" s="203"/>
      <c r="AI20" s="202"/>
      <c r="AJ20" s="203"/>
      <c r="AK20" s="202"/>
      <c r="AL20" s="202"/>
      <c r="AM20" s="203"/>
      <c r="AN20" s="202"/>
      <c r="AO20" s="203"/>
      <c r="AP20" s="202"/>
      <c r="AQ20" s="202"/>
      <c r="AR20" s="203"/>
      <c r="AS20" s="202"/>
      <c r="AT20" s="203"/>
      <c r="AU20" s="202"/>
      <c r="AV20" s="202"/>
      <c r="AW20" s="203"/>
      <c r="AX20" s="202"/>
      <c r="AY20" s="203"/>
      <c r="AZ20" s="202"/>
      <c r="BA20" s="202"/>
      <c r="BB20" s="203"/>
      <c r="BC20" s="202"/>
      <c r="BD20" s="203"/>
      <c r="BE20" s="202"/>
      <c r="BF20" s="202"/>
      <c r="BG20" s="203"/>
      <c r="BH20" s="202"/>
      <c r="BI20" s="203"/>
      <c r="BJ20" s="202"/>
      <c r="BK20" s="202"/>
      <c r="BL20" s="203"/>
      <c r="BM20" s="202"/>
      <c r="BN20" s="203"/>
      <c r="BO20" s="202"/>
      <c r="BP20" s="202"/>
      <c r="BQ20" s="203"/>
      <c r="BR20" s="202"/>
      <c r="BS20" s="203"/>
      <c r="BT20" s="202"/>
      <c r="BU20" s="202"/>
      <c r="BV20" s="203"/>
      <c r="BW20" s="202"/>
      <c r="BX20" s="203"/>
    </row>
    <row r="21" spans="1:76" x14ac:dyDescent="0.2">
      <c r="A21" s="96" t="s">
        <v>19</v>
      </c>
      <c r="C21" s="202"/>
      <c r="D21" s="203"/>
      <c r="E21" s="202"/>
      <c r="F21" s="203"/>
      <c r="G21" s="204"/>
      <c r="H21" s="202"/>
      <c r="I21" s="203"/>
      <c r="J21" s="202"/>
      <c r="K21" s="203"/>
      <c r="L21" s="204"/>
      <c r="M21" s="202"/>
      <c r="N21" s="203"/>
      <c r="O21" s="202"/>
      <c r="P21" s="203"/>
      <c r="Q21" s="204"/>
      <c r="R21" s="202"/>
      <c r="S21" s="203"/>
      <c r="T21" s="202"/>
      <c r="U21" s="203"/>
      <c r="V21" s="204"/>
      <c r="W21" s="202"/>
      <c r="X21" s="203"/>
      <c r="Y21" s="202"/>
      <c r="Z21" s="203"/>
      <c r="AA21" s="202"/>
      <c r="AB21" s="202"/>
      <c r="AC21" s="203"/>
      <c r="AD21" s="202"/>
      <c r="AE21" s="203"/>
      <c r="AF21" s="202"/>
      <c r="AG21" s="202"/>
      <c r="AH21" s="203"/>
      <c r="AI21" s="202"/>
      <c r="AJ21" s="203"/>
      <c r="AK21" s="202"/>
      <c r="AL21" s="202"/>
      <c r="AM21" s="203"/>
      <c r="AN21" s="202"/>
      <c r="AO21" s="203"/>
      <c r="AP21" s="202"/>
      <c r="AQ21" s="202"/>
      <c r="AR21" s="203"/>
      <c r="AS21" s="202"/>
      <c r="AT21" s="203"/>
      <c r="AU21" s="202"/>
      <c r="AV21" s="202"/>
      <c r="AW21" s="203"/>
      <c r="AX21" s="202"/>
      <c r="AY21" s="203"/>
      <c r="AZ21" s="202"/>
      <c r="BA21" s="202"/>
      <c r="BB21" s="203"/>
      <c r="BC21" s="202"/>
      <c r="BD21" s="203"/>
      <c r="BE21" s="202"/>
      <c r="BF21" s="202"/>
      <c r="BG21" s="203"/>
      <c r="BH21" s="202"/>
      <c r="BI21" s="203"/>
      <c r="BJ21" s="202"/>
      <c r="BK21" s="202"/>
      <c r="BL21" s="203"/>
      <c r="BM21" s="202"/>
      <c r="BN21" s="203"/>
      <c r="BO21" s="202"/>
      <c r="BP21" s="202"/>
      <c r="BQ21" s="203"/>
      <c r="BR21" s="202"/>
      <c r="BS21" s="203"/>
      <c r="BT21" s="202"/>
      <c r="BU21" s="202"/>
      <c r="BV21" s="203"/>
      <c r="BW21" s="202"/>
      <c r="BX21" s="203"/>
    </row>
    <row r="22" spans="1:76" x14ac:dyDescent="0.2">
      <c r="A22" s="15" t="s">
        <v>25</v>
      </c>
      <c r="C22" s="202">
        <f>(2742)/7.45</f>
        <v>368.05369127516775</v>
      </c>
      <c r="D22" s="203">
        <v>362.81879194630869</v>
      </c>
      <c r="E22" s="202">
        <v>345.36912751677852</v>
      </c>
      <c r="F22" s="203">
        <v>358.65771812080538</v>
      </c>
      <c r="G22" s="204"/>
      <c r="H22" s="202">
        <v>363.89261744966444</v>
      </c>
      <c r="I22" s="203">
        <v>339.06040268456377</v>
      </c>
      <c r="J22" s="202">
        <v>357.44966442953017</v>
      </c>
      <c r="K22" s="203">
        <v>374.09395973154363</v>
      </c>
      <c r="L22" s="204"/>
      <c r="M22" s="202">
        <v>387.5167785234899</v>
      </c>
      <c r="N22" s="203">
        <v>382.14765100671138</v>
      </c>
      <c r="O22" s="202">
        <v>397.31543624161071</v>
      </c>
      <c r="P22" s="203">
        <v>435.70469798657717</v>
      </c>
      <c r="Q22" s="204"/>
      <c r="R22" s="202">
        <v>447.91946308724829</v>
      </c>
      <c r="S22" s="203">
        <v>450.33557046979865</v>
      </c>
      <c r="T22" s="202">
        <v>482.95302013422815</v>
      </c>
      <c r="U22" s="203">
        <v>460</v>
      </c>
      <c r="V22" s="204"/>
      <c r="W22" s="202">
        <v>463.22147651006708</v>
      </c>
      <c r="X22" s="203">
        <v>470.85906040268458</v>
      </c>
      <c r="Y22" s="202">
        <v>474.8993288590604</v>
      </c>
      <c r="Z22" s="203">
        <v>499.19463087248323</v>
      </c>
      <c r="AA22" s="202"/>
      <c r="AB22" s="202">
        <v>511.40939597315435</v>
      </c>
      <c r="AC22" s="203">
        <v>540.93959731543623</v>
      </c>
      <c r="AD22" s="202">
        <v>535.83892617449658</v>
      </c>
      <c r="AE22" s="203">
        <v>551.00671140939596</v>
      </c>
      <c r="AF22" s="202"/>
      <c r="AG22" s="202">
        <v>535.43624161073819</v>
      </c>
      <c r="AH22" s="203">
        <v>534.63087248322142</v>
      </c>
      <c r="AI22" s="202">
        <v>536.91275167785238</v>
      </c>
      <c r="AJ22" s="203">
        <v>544.96644295302008</v>
      </c>
      <c r="AK22" s="202"/>
      <c r="AL22" s="202">
        <v>552.48322147651004</v>
      </c>
      <c r="AM22" s="203">
        <v>745.234899328859</v>
      </c>
      <c r="AN22" s="202">
        <v>758.38926174496646</v>
      </c>
      <c r="AO22" s="203">
        <v>769.1275167785235</v>
      </c>
      <c r="AP22" s="202"/>
      <c r="AQ22" s="202">
        <v>747.78523489932888</v>
      </c>
      <c r="AR22" s="203">
        <v>752.08053691275165</v>
      </c>
      <c r="AS22" s="202">
        <v>753.15436241610735</v>
      </c>
      <c r="AT22" s="203">
        <v>760.67114093959731</v>
      </c>
      <c r="AU22" s="202"/>
      <c r="AV22" s="202">
        <v>751.67785234899327</v>
      </c>
      <c r="AW22" s="203">
        <v>763.08724832214762</v>
      </c>
      <c r="AX22" s="202">
        <v>793.69127516778519</v>
      </c>
      <c r="AY22" s="203">
        <v>801.20805369127515</v>
      </c>
      <c r="AZ22" s="202"/>
      <c r="BA22" s="202">
        <v>846.97986577181211</v>
      </c>
      <c r="BB22" s="203">
        <v>802.55033557046977</v>
      </c>
      <c r="BC22" s="202">
        <v>798.79194630872485</v>
      </c>
      <c r="BD22" s="203">
        <v>808.6</v>
      </c>
      <c r="BE22" s="202"/>
      <c r="BF22" s="202">
        <v>802.1</v>
      </c>
      <c r="BG22" s="203">
        <v>801.7</v>
      </c>
      <c r="BH22" s="202">
        <v>760.2</v>
      </c>
      <c r="BI22" s="203">
        <v>951.4</v>
      </c>
      <c r="BJ22" s="202"/>
      <c r="BK22" s="202">
        <v>971.5</v>
      </c>
      <c r="BL22" s="203">
        <v>982.2</v>
      </c>
      <c r="BM22" s="202">
        <v>993.3</v>
      </c>
      <c r="BN22" s="203">
        <v>816.3</v>
      </c>
      <c r="BO22" s="202"/>
      <c r="BP22" s="202">
        <v>774.9</v>
      </c>
      <c r="BQ22" s="203">
        <v>767.2</v>
      </c>
      <c r="BR22" s="202">
        <v>774.5</v>
      </c>
      <c r="BS22" s="203">
        <f>745.6-2.4</f>
        <v>743.2</v>
      </c>
      <c r="BT22" s="202"/>
      <c r="BU22" s="202">
        <v>713.8</v>
      </c>
      <c r="BV22" s="203">
        <v>687.7</v>
      </c>
      <c r="BW22" s="202">
        <v>656</v>
      </c>
      <c r="BX22" s="203">
        <v>651.4</v>
      </c>
    </row>
    <row r="23" spans="1:76" x14ac:dyDescent="0.2">
      <c r="A23" s="15" t="s">
        <v>186</v>
      </c>
      <c r="C23" s="202"/>
      <c r="D23" s="203"/>
      <c r="E23" s="202"/>
      <c r="F23" s="203"/>
      <c r="G23" s="204"/>
      <c r="H23" s="202"/>
      <c r="I23" s="203"/>
      <c r="J23" s="202"/>
      <c r="K23" s="203"/>
      <c r="L23" s="204"/>
      <c r="M23" s="202"/>
      <c r="N23" s="203"/>
      <c r="O23" s="202"/>
      <c r="P23" s="203"/>
      <c r="Q23" s="204"/>
      <c r="R23" s="202"/>
      <c r="S23" s="203"/>
      <c r="T23" s="202"/>
      <c r="U23" s="203"/>
      <c r="V23" s="204"/>
      <c r="W23" s="202"/>
      <c r="X23" s="203"/>
      <c r="Y23" s="202"/>
      <c r="Z23" s="203"/>
      <c r="AA23" s="202"/>
      <c r="AB23" s="202"/>
      <c r="AC23" s="203"/>
      <c r="AD23" s="202"/>
      <c r="AE23" s="203"/>
      <c r="AF23" s="202"/>
      <c r="AG23" s="202"/>
      <c r="AH23" s="203"/>
      <c r="AI23" s="202"/>
      <c r="AJ23" s="203"/>
      <c r="AK23" s="202"/>
      <c r="AL23" s="202"/>
      <c r="AM23" s="203"/>
      <c r="AN23" s="202"/>
      <c r="AO23" s="203"/>
      <c r="AP23" s="202"/>
      <c r="AQ23" s="202"/>
      <c r="AR23" s="203"/>
      <c r="AS23" s="202"/>
      <c r="AT23" s="203"/>
      <c r="AU23" s="202"/>
      <c r="AV23" s="202"/>
      <c r="AW23" s="203"/>
      <c r="AX23" s="202"/>
      <c r="AY23" s="203"/>
      <c r="AZ23" s="202"/>
      <c r="BA23" s="202"/>
      <c r="BB23" s="203"/>
      <c r="BC23" s="202"/>
      <c r="BD23" s="203"/>
      <c r="BE23" s="202"/>
      <c r="BF23" s="202"/>
      <c r="BG23" s="203"/>
      <c r="BH23" s="202"/>
      <c r="BI23" s="203"/>
      <c r="BJ23" s="202"/>
      <c r="BK23" s="202"/>
      <c r="BL23" s="203"/>
      <c r="BM23" s="202"/>
      <c r="BN23" s="203"/>
      <c r="BO23" s="202"/>
      <c r="BP23" s="202"/>
      <c r="BQ23" s="203"/>
      <c r="BR23" s="202">
        <v>150</v>
      </c>
      <c r="BS23" s="203">
        <v>152.4</v>
      </c>
      <c r="BT23" s="202"/>
      <c r="BU23" s="202">
        <v>154.4</v>
      </c>
      <c r="BV23" s="203">
        <v>156.4</v>
      </c>
      <c r="BW23" s="202">
        <v>150.30000000000001</v>
      </c>
      <c r="BX23" s="203">
        <v>152.4</v>
      </c>
    </row>
    <row r="24" spans="1:76" s="98" customFormat="1" x14ac:dyDescent="0.2">
      <c r="A24" s="98" t="s">
        <v>8</v>
      </c>
      <c r="B24" s="99"/>
      <c r="C24" s="205">
        <v>7.7852348993288585</v>
      </c>
      <c r="D24" s="206">
        <v>7.9194630872483218</v>
      </c>
      <c r="E24" s="205">
        <v>8.4563758389261743</v>
      </c>
      <c r="F24" s="206">
        <v>8.4563758389261743</v>
      </c>
      <c r="G24" s="207"/>
      <c r="H24" s="205">
        <v>8.5906040268456376</v>
      </c>
      <c r="I24" s="206">
        <v>9.5302013422818792</v>
      </c>
      <c r="J24" s="205">
        <v>1.8791946308724832</v>
      </c>
      <c r="K24" s="206">
        <v>2.5503355704697985</v>
      </c>
      <c r="L24" s="207"/>
      <c r="M24" s="205">
        <v>2.6845637583892619</v>
      </c>
      <c r="N24" s="206">
        <v>3.3557046979865772</v>
      </c>
      <c r="O24" s="205">
        <v>3.8926174496644292</v>
      </c>
      <c r="P24" s="206">
        <v>4.9664429530201337</v>
      </c>
      <c r="Q24" s="207"/>
      <c r="R24" s="205">
        <v>5.2348993288590604</v>
      </c>
      <c r="S24" s="206">
        <v>5.6375838926174495</v>
      </c>
      <c r="T24" s="205">
        <v>6.174496644295302</v>
      </c>
      <c r="U24" s="206">
        <v>5.1006711409395971</v>
      </c>
      <c r="V24" s="207"/>
      <c r="W24" s="205">
        <v>4.2953020134228188</v>
      </c>
      <c r="X24" s="206">
        <v>4.6174496644295298</v>
      </c>
      <c r="Y24" s="205">
        <v>5.5033557046979862</v>
      </c>
      <c r="Z24" s="206">
        <v>2.8187919463087248</v>
      </c>
      <c r="AA24" s="205"/>
      <c r="AB24" s="205">
        <v>2.9530201342281877</v>
      </c>
      <c r="AC24" s="206">
        <v>3.087248322147651</v>
      </c>
      <c r="AD24" s="205">
        <v>0.93959731543624159</v>
      </c>
      <c r="AE24" s="206">
        <v>0.93959731543624159</v>
      </c>
      <c r="AF24" s="205"/>
      <c r="AG24" s="205">
        <v>0.67114093959731547</v>
      </c>
      <c r="AH24" s="206">
        <v>0.80536912751677847</v>
      </c>
      <c r="AI24" s="205">
        <v>0.80536912751677847</v>
      </c>
      <c r="AJ24" s="206">
        <v>0.80536912751677847</v>
      </c>
      <c r="AK24" s="205"/>
      <c r="AL24" s="205">
        <v>0.80536912751677847</v>
      </c>
      <c r="AM24" s="206">
        <v>0.80536912751677847</v>
      </c>
      <c r="AN24" s="205">
        <v>0.93959731543624159</v>
      </c>
      <c r="AO24" s="206">
        <v>0.93959731543624159</v>
      </c>
      <c r="AP24" s="205"/>
      <c r="AQ24" s="205">
        <v>1.0738255033557047</v>
      </c>
      <c r="AR24" s="206">
        <v>0.93959731543624159</v>
      </c>
      <c r="AS24" s="205">
        <v>0.93959731543624159</v>
      </c>
      <c r="AT24" s="206">
        <v>0.93959731543624159</v>
      </c>
      <c r="AU24" s="205"/>
      <c r="AV24" s="205">
        <v>0.80536912751677847</v>
      </c>
      <c r="AW24" s="206">
        <v>0.80536912751677847</v>
      </c>
      <c r="AX24" s="205">
        <v>0.80536912751677847</v>
      </c>
      <c r="AY24" s="206">
        <v>0.80536912751677847</v>
      </c>
      <c r="AZ24" s="205"/>
      <c r="BA24" s="205">
        <v>0.93959731543624159</v>
      </c>
      <c r="BB24" s="206">
        <v>0.93959731543624159</v>
      </c>
      <c r="BC24" s="205">
        <v>0.93959731543624159</v>
      </c>
      <c r="BD24" s="206">
        <v>0.9</v>
      </c>
      <c r="BE24" s="205"/>
      <c r="BF24" s="205">
        <v>0.93959731543624159</v>
      </c>
      <c r="BG24" s="206">
        <v>0</v>
      </c>
      <c r="BH24" s="205">
        <v>0</v>
      </c>
      <c r="BI24" s="206">
        <v>0</v>
      </c>
      <c r="BJ24" s="205"/>
      <c r="BK24" s="205">
        <v>0</v>
      </c>
      <c r="BL24" s="206">
        <v>0</v>
      </c>
      <c r="BM24" s="205">
        <v>0</v>
      </c>
      <c r="BN24" s="206">
        <v>0</v>
      </c>
      <c r="BO24" s="205"/>
      <c r="BP24" s="205">
        <v>0</v>
      </c>
      <c r="BQ24" s="206">
        <v>0</v>
      </c>
      <c r="BR24" s="205">
        <v>0</v>
      </c>
      <c r="BS24" s="206">
        <v>0</v>
      </c>
      <c r="BT24" s="205"/>
      <c r="BU24" s="205">
        <v>0</v>
      </c>
      <c r="BV24" s="206">
        <v>0</v>
      </c>
      <c r="BW24" s="205">
        <v>0</v>
      </c>
      <c r="BX24" s="206">
        <v>0</v>
      </c>
    </row>
    <row r="25" spans="1:76" x14ac:dyDescent="0.2">
      <c r="A25" s="15" t="s">
        <v>99</v>
      </c>
      <c r="C25" s="202">
        <f>SUM(C22:C24)</f>
        <v>375.83892617449663</v>
      </c>
      <c r="D25" s="203">
        <f>SUM(D22:D24)</f>
        <v>370.73825503355704</v>
      </c>
      <c r="E25" s="202">
        <f>SUM(E22:E24)</f>
        <v>353.82550335570471</v>
      </c>
      <c r="F25" s="203">
        <f>SUM(F22:F24)</f>
        <v>367.11409395973158</v>
      </c>
      <c r="G25" s="204"/>
      <c r="H25" s="202">
        <f>SUM(H22:H24)</f>
        <v>372.4832214765101</v>
      </c>
      <c r="I25" s="203">
        <f>SUM(I22:I24)</f>
        <v>348.59060402684565</v>
      </c>
      <c r="J25" s="202">
        <f>SUM(J22:J24)</f>
        <v>359.32885906040264</v>
      </c>
      <c r="K25" s="203">
        <f>SUM(K22:K24)</f>
        <v>376.64429530201346</v>
      </c>
      <c r="L25" s="204"/>
      <c r="M25" s="202">
        <f>SUM(M22:M24)</f>
        <v>390.20134228187919</v>
      </c>
      <c r="N25" s="203">
        <f>SUM(N22:N24)</f>
        <v>385.50335570469798</v>
      </c>
      <c r="O25" s="202">
        <f>SUM(O22:O24)</f>
        <v>401.20805369127515</v>
      </c>
      <c r="P25" s="203">
        <f>SUM(P22:P24)</f>
        <v>440.67114093959731</v>
      </c>
      <c r="Q25" s="204"/>
      <c r="R25" s="202">
        <f>SUM(R22:R24)</f>
        <v>453.15436241610735</v>
      </c>
      <c r="S25" s="203">
        <f>SUM(S22:S24)</f>
        <v>455.9731543624161</v>
      </c>
      <c r="T25" s="202">
        <f>SUM(T22:T24)</f>
        <v>489.12751677852344</v>
      </c>
      <c r="U25" s="203">
        <f>SUM(U22:U24)</f>
        <v>465.1006711409396</v>
      </c>
      <c r="V25" s="204"/>
      <c r="W25" s="202">
        <f>SUM(W22:W24)</f>
        <v>467.5167785234899</v>
      </c>
      <c r="X25" s="203">
        <f>SUM(X22:X24)</f>
        <v>475.47651006711413</v>
      </c>
      <c r="Y25" s="202">
        <f>SUM(Y22:Y24)</f>
        <v>480.40268456375838</v>
      </c>
      <c r="Z25" s="203">
        <f>SUM(Z22:Z24)</f>
        <v>502.01342281879198</v>
      </c>
      <c r="AA25" s="202"/>
      <c r="AB25" s="202">
        <f>SUM(AB22:AB24)</f>
        <v>514.3624161073825</v>
      </c>
      <c r="AC25" s="203">
        <f>SUM(AC22:AC24)</f>
        <v>544.02684563758385</v>
      </c>
      <c r="AD25" s="202">
        <f>SUM(AD22:AD24)</f>
        <v>536.77852348993281</v>
      </c>
      <c r="AE25" s="203">
        <f>SUM(AE22:AE24)</f>
        <v>551.94630872483219</v>
      </c>
      <c r="AF25" s="202"/>
      <c r="AG25" s="202">
        <f>SUM(AG22:AG24)</f>
        <v>536.1073825503355</v>
      </c>
      <c r="AH25" s="203">
        <f>SUM(AH22:AH24)</f>
        <v>535.43624161073819</v>
      </c>
      <c r="AI25" s="202">
        <f>SUM(AI22:AI24)</f>
        <v>537.71812080536915</v>
      </c>
      <c r="AJ25" s="203">
        <f>SUM(AJ22:AJ24)</f>
        <v>545.77181208053685</v>
      </c>
      <c r="AK25" s="202"/>
      <c r="AL25" s="202">
        <f>SUM(AL22:AL24)</f>
        <v>553.28859060402681</v>
      </c>
      <c r="AM25" s="203">
        <f>SUM(AM22:AM24)</f>
        <v>746.04026845637577</v>
      </c>
      <c r="AN25" s="202">
        <f>SUM(AN22:AN24)</f>
        <v>759.32885906040269</v>
      </c>
      <c r="AO25" s="203">
        <f>SUM(AO22:AO24)</f>
        <v>770.06711409395973</v>
      </c>
      <c r="AP25" s="202"/>
      <c r="AQ25" s="202">
        <f>SUM(AQ22:AQ24)</f>
        <v>748.85906040268458</v>
      </c>
      <c r="AR25" s="203">
        <f>SUM(AR22:AR24)</f>
        <v>753.02013422818789</v>
      </c>
      <c r="AS25" s="202">
        <f>SUM(AS22:AS24)</f>
        <v>754.09395973154358</v>
      </c>
      <c r="AT25" s="203">
        <f>SUM(AT22:AT24)</f>
        <v>761.61073825503354</v>
      </c>
      <c r="AU25" s="202"/>
      <c r="AV25" s="202">
        <f>SUM(AV22:AV24)</f>
        <v>752.48322147651004</v>
      </c>
      <c r="AW25" s="203">
        <f>SUM(AW22:AW24)</f>
        <v>763.89261744966439</v>
      </c>
      <c r="AX25" s="202">
        <f>SUM(AX22:AX24)</f>
        <v>794.49664429530196</v>
      </c>
      <c r="AY25" s="203">
        <f>SUM(AY22:AY24)</f>
        <v>802.01342281879192</v>
      </c>
      <c r="AZ25" s="202"/>
      <c r="BA25" s="202">
        <f>SUM(BA22:BA24)</f>
        <v>847.91946308724835</v>
      </c>
      <c r="BB25" s="203">
        <f>SUM(BB22:BB24)</f>
        <v>803.489932885906</v>
      </c>
      <c r="BC25" s="202">
        <f>SUM(BC22:BC24)</f>
        <v>799.73154362416108</v>
      </c>
      <c r="BD25" s="203">
        <f>SUM(BD22:BD24)</f>
        <v>809.5</v>
      </c>
      <c r="BE25" s="202"/>
      <c r="BF25" s="202">
        <f>SUM(BF22:BF24)</f>
        <v>803.03959731543625</v>
      </c>
      <c r="BG25" s="203">
        <f>SUM(BG22:BG24)</f>
        <v>801.7</v>
      </c>
      <c r="BH25" s="202">
        <f>SUM(BH22:BH24)</f>
        <v>760.2</v>
      </c>
      <c r="BI25" s="203">
        <f>SUM(BI22:BI24)</f>
        <v>951.4</v>
      </c>
      <c r="BJ25" s="202"/>
      <c r="BK25" s="202">
        <f>SUM(BK22:BK24)</f>
        <v>971.5</v>
      </c>
      <c r="BL25" s="203">
        <f>SUM(BL22:BL24)</f>
        <v>982.2</v>
      </c>
      <c r="BM25" s="202">
        <f>SUM(BM22:BM24)</f>
        <v>993.3</v>
      </c>
      <c r="BN25" s="203">
        <f>SUM(BN22:BN24)</f>
        <v>816.3</v>
      </c>
      <c r="BO25" s="202"/>
      <c r="BP25" s="202">
        <f>SUM(BP22:BP24)</f>
        <v>774.9</v>
      </c>
      <c r="BQ25" s="203">
        <f>SUM(BQ22:BQ24)</f>
        <v>767.2</v>
      </c>
      <c r="BR25" s="202">
        <f>SUM(BR22:BR24)</f>
        <v>924.5</v>
      </c>
      <c r="BS25" s="203">
        <f>SUM(BS22:BS24)</f>
        <v>895.6</v>
      </c>
      <c r="BT25" s="202"/>
      <c r="BU25" s="202">
        <f>SUM(BU22:BU24)</f>
        <v>868.19999999999993</v>
      </c>
      <c r="BV25" s="203">
        <f>SUM(BV22:BV24)</f>
        <v>844.1</v>
      </c>
      <c r="BW25" s="202">
        <f>SUM(BW22:BW24)</f>
        <v>806.3</v>
      </c>
      <c r="BX25" s="203">
        <f>SUM(BX22:BX24)</f>
        <v>803.8</v>
      </c>
    </row>
    <row r="26" spans="1:76" x14ac:dyDescent="0.2">
      <c r="A26" s="15" t="s">
        <v>49</v>
      </c>
      <c r="C26" s="202">
        <f>(8+284+14)/7.45</f>
        <v>41.073825503355707</v>
      </c>
      <c r="D26" s="203">
        <f>(9+283+16)/7.45</f>
        <v>41.34228187919463</v>
      </c>
      <c r="E26" s="202">
        <v>41.208053691275168</v>
      </c>
      <c r="F26" s="203">
        <v>42.281879194630875</v>
      </c>
      <c r="G26" s="204"/>
      <c r="H26" s="218">
        <v>43.624161073825505</v>
      </c>
      <c r="I26" s="203">
        <v>44.161073825503358</v>
      </c>
      <c r="J26" s="202">
        <v>43.221476510067113</v>
      </c>
      <c r="K26" s="203">
        <v>42.550335570469798</v>
      </c>
      <c r="L26" s="204"/>
      <c r="M26" s="202">
        <v>46.442953020134226</v>
      </c>
      <c r="N26" s="203">
        <v>50.469798657718123</v>
      </c>
      <c r="O26" s="202">
        <v>62.147651006711406</v>
      </c>
      <c r="P26" s="203">
        <v>63.624161073825505</v>
      </c>
      <c r="Q26" s="204"/>
      <c r="R26" s="202">
        <v>68.322147651006716</v>
      </c>
      <c r="S26" s="203">
        <v>69.127516778523486</v>
      </c>
      <c r="T26" s="202">
        <f>(125+286+98)/7.45</f>
        <v>68.322147651006716</v>
      </c>
      <c r="U26" s="203">
        <f>(91+280+123)/7.45</f>
        <v>66.308724832214764</v>
      </c>
      <c r="V26" s="204"/>
      <c r="W26" s="202">
        <v>66.174496644295303</v>
      </c>
      <c r="X26" s="203">
        <f>(369.9+144.2)/7.45</f>
        <v>69.006711409395962</v>
      </c>
      <c r="Y26" s="202">
        <v>70.872483221476514</v>
      </c>
      <c r="Z26" s="203">
        <v>73.959731543624159</v>
      </c>
      <c r="AA26" s="202"/>
      <c r="AB26" s="202">
        <f>(147+286+42)/7.45</f>
        <v>63.758389261744966</v>
      </c>
      <c r="AC26" s="203">
        <v>73.557046979865774</v>
      </c>
      <c r="AD26" s="202">
        <v>76.912751677852341</v>
      </c>
      <c r="AE26" s="203">
        <v>78.255033557046971</v>
      </c>
      <c r="AF26" s="202"/>
      <c r="AG26" s="202">
        <v>74.09395973154362</v>
      </c>
      <c r="AH26" s="203">
        <v>68.053691275167779</v>
      </c>
      <c r="AI26" s="202">
        <v>63.221476510067113</v>
      </c>
      <c r="AJ26" s="203">
        <v>81.610738255033553</v>
      </c>
      <c r="AK26" s="202"/>
      <c r="AL26" s="202">
        <v>75.570469798657712</v>
      </c>
      <c r="AM26" s="203">
        <v>71.677852348993284</v>
      </c>
      <c r="AN26" s="202">
        <v>73.959731543624159</v>
      </c>
      <c r="AO26" s="203">
        <v>88.724832214765101</v>
      </c>
      <c r="AP26" s="202"/>
      <c r="AQ26" s="202">
        <v>91.140939597315437</v>
      </c>
      <c r="AR26" s="203">
        <v>90.335570469798654</v>
      </c>
      <c r="AS26" s="202">
        <f>(251+343+71)/7.45</f>
        <v>89.261744966442947</v>
      </c>
      <c r="AT26" s="203">
        <f>(345.8+342.3+69.5)/7.45</f>
        <v>101.69127516778524</v>
      </c>
      <c r="AU26" s="202"/>
      <c r="AV26" s="202">
        <v>93.422818791946312</v>
      </c>
      <c r="AW26" s="203">
        <v>100.93959731543625</v>
      </c>
      <c r="AX26" s="202">
        <f>(379+343+69)/7.45</f>
        <v>106.1744966442953</v>
      </c>
      <c r="AY26" s="203">
        <v>117.18120805369128</v>
      </c>
      <c r="AZ26" s="202"/>
      <c r="BA26" s="202">
        <v>108.85906040268456</v>
      </c>
      <c r="BB26" s="203">
        <v>117.71812080536913</v>
      </c>
      <c r="BC26" s="202">
        <v>119.32885906040268</v>
      </c>
      <c r="BD26" s="203">
        <v>117.5</v>
      </c>
      <c r="BE26" s="202"/>
      <c r="BF26" s="202">
        <v>113</v>
      </c>
      <c r="BG26" s="203">
        <v>112.9</v>
      </c>
      <c r="BH26" s="202">
        <f>42.5+54.6+20.8</f>
        <v>117.89999999999999</v>
      </c>
      <c r="BI26" s="203">
        <v>73.900000000000006</v>
      </c>
      <c r="BJ26" s="202"/>
      <c r="BK26" s="202">
        <v>124.9</v>
      </c>
      <c r="BL26" s="203">
        <f>51.2+53.2+22.6</f>
        <v>127</v>
      </c>
      <c r="BM26" s="202">
        <f>54.5+53.3+30.4</f>
        <v>138.19999999999999</v>
      </c>
      <c r="BN26" s="203">
        <f>28.5+59.9+52.5</f>
        <v>140.9</v>
      </c>
      <c r="BO26" s="202"/>
      <c r="BP26" s="202">
        <f>55.5+52.6+23.6</f>
        <v>131.69999999999999</v>
      </c>
      <c r="BQ26" s="203">
        <f>56.3+52.8+23</f>
        <v>132.1</v>
      </c>
      <c r="BR26" s="202">
        <f>57.3+52.8+20.1</f>
        <v>130.19999999999999</v>
      </c>
      <c r="BS26" s="203">
        <f>46.3+49.9+18.5</f>
        <v>114.69999999999999</v>
      </c>
      <c r="BT26" s="202"/>
      <c r="BU26" s="202">
        <f>45.4+49.9+16.7</f>
        <v>112</v>
      </c>
      <c r="BV26" s="203">
        <f>44.4+49.6+15.1</f>
        <v>109.1</v>
      </c>
      <c r="BW26" s="202">
        <f>43.1+49.6+13.7</f>
        <v>106.4</v>
      </c>
      <c r="BX26" s="203">
        <f>31.8+55.6+14.6</f>
        <v>102</v>
      </c>
    </row>
    <row r="27" spans="1:76" x14ac:dyDescent="0.2">
      <c r="A27" s="15" t="s">
        <v>191</v>
      </c>
      <c r="C27" s="202"/>
      <c r="D27" s="203"/>
      <c r="E27" s="202"/>
      <c r="F27" s="203"/>
      <c r="G27" s="204"/>
      <c r="H27" s="218"/>
      <c r="I27" s="203"/>
      <c r="J27" s="202"/>
      <c r="K27" s="203"/>
      <c r="L27" s="204"/>
      <c r="M27" s="202"/>
      <c r="N27" s="203"/>
      <c r="O27" s="202"/>
      <c r="P27" s="203"/>
      <c r="Q27" s="204"/>
      <c r="R27" s="202"/>
      <c r="S27" s="203"/>
      <c r="T27" s="202"/>
      <c r="U27" s="203"/>
      <c r="V27" s="204"/>
      <c r="W27" s="202"/>
      <c r="X27" s="203"/>
      <c r="Y27" s="202"/>
      <c r="Z27" s="203"/>
      <c r="AA27" s="202"/>
      <c r="AB27" s="202"/>
      <c r="AC27" s="203"/>
      <c r="AD27" s="202"/>
      <c r="AE27" s="203"/>
      <c r="AF27" s="202"/>
      <c r="AG27" s="202"/>
      <c r="AH27" s="203"/>
      <c r="AI27" s="202"/>
      <c r="AJ27" s="203"/>
      <c r="AK27" s="202"/>
      <c r="AL27" s="202"/>
      <c r="AM27" s="203"/>
      <c r="AN27" s="202"/>
      <c r="AO27" s="203"/>
      <c r="AP27" s="202"/>
      <c r="AQ27" s="202"/>
      <c r="AR27" s="203"/>
      <c r="AS27" s="202"/>
      <c r="AT27" s="203"/>
      <c r="AU27" s="202"/>
      <c r="AV27" s="202"/>
      <c r="AW27" s="203"/>
      <c r="AX27" s="202"/>
      <c r="AY27" s="203"/>
      <c r="AZ27" s="202"/>
      <c r="BA27" s="202"/>
      <c r="BB27" s="203"/>
      <c r="BC27" s="202"/>
      <c r="BD27" s="203"/>
      <c r="BE27" s="202"/>
      <c r="BF27" s="202"/>
      <c r="BG27" s="203"/>
      <c r="BH27" s="202"/>
      <c r="BI27" s="203"/>
      <c r="BJ27" s="202"/>
      <c r="BK27" s="202"/>
      <c r="BL27" s="203"/>
      <c r="BM27" s="202"/>
      <c r="BN27" s="203"/>
      <c r="BO27" s="202"/>
      <c r="BP27" s="202"/>
      <c r="BQ27" s="203"/>
      <c r="BR27" s="202"/>
      <c r="BS27" s="203"/>
      <c r="BT27" s="202"/>
      <c r="BU27" s="202">
        <v>30.6</v>
      </c>
      <c r="BV27" s="203">
        <v>29.4</v>
      </c>
      <c r="BW27" s="202">
        <v>28.2</v>
      </c>
      <c r="BX27" s="203">
        <v>31.6</v>
      </c>
    </row>
    <row r="28" spans="1:76" x14ac:dyDescent="0.2">
      <c r="A28" s="15" t="s">
        <v>81</v>
      </c>
      <c r="C28" s="202">
        <v>102.01342281879194</v>
      </c>
      <c r="D28" s="203">
        <v>97.583892617449663</v>
      </c>
      <c r="E28" s="202">
        <v>136.10738255033556</v>
      </c>
      <c r="F28" s="203">
        <v>131.6778523489933</v>
      </c>
      <c r="G28" s="204"/>
      <c r="H28" s="202">
        <v>131.6778523489933</v>
      </c>
      <c r="I28" s="203">
        <v>131.54362416107384</v>
      </c>
      <c r="J28" s="202">
        <v>131.54362416107384</v>
      </c>
      <c r="K28" s="203">
        <v>198.25503355704697</v>
      </c>
      <c r="L28" s="204"/>
      <c r="M28" s="202">
        <v>229.93288590604027</v>
      </c>
      <c r="N28" s="203">
        <v>231.00671140939596</v>
      </c>
      <c r="O28" s="202">
        <v>230.60402684563758</v>
      </c>
      <c r="P28" s="203">
        <v>180.26845637583892</v>
      </c>
      <c r="Q28" s="204"/>
      <c r="R28" s="202">
        <v>189.26174496644296</v>
      </c>
      <c r="S28" s="203">
        <v>196.24161073825502</v>
      </c>
      <c r="T28" s="202">
        <v>192.75167785234899</v>
      </c>
      <c r="U28" s="203">
        <v>176.51006711409394</v>
      </c>
      <c r="V28" s="204"/>
      <c r="W28" s="202">
        <v>165.1006711409396</v>
      </c>
      <c r="X28" s="203">
        <v>255.9731543624161</v>
      </c>
      <c r="Y28" s="202">
        <v>290.73825503355704</v>
      </c>
      <c r="Z28" s="203">
        <v>261.34228187919462</v>
      </c>
      <c r="AA28" s="202"/>
      <c r="AB28" s="202">
        <v>315.70469798657717</v>
      </c>
      <c r="AC28" s="203">
        <v>365.36912751677852</v>
      </c>
      <c r="AD28" s="202">
        <v>384.96644295302013</v>
      </c>
      <c r="AE28" s="203">
        <v>463.35570469798654</v>
      </c>
      <c r="AF28" s="202"/>
      <c r="AG28" s="202">
        <v>550.06711409395973</v>
      </c>
      <c r="AH28" s="203">
        <v>558.12080536912754</v>
      </c>
      <c r="AI28" s="202">
        <v>492.75167785234896</v>
      </c>
      <c r="AJ28" s="203">
        <v>477.58389261744964</v>
      </c>
      <c r="AK28" s="202"/>
      <c r="AL28" s="202">
        <v>520</v>
      </c>
      <c r="AM28" s="203">
        <v>254.36241610738256</v>
      </c>
      <c r="AN28" s="202">
        <v>270.06711409395973</v>
      </c>
      <c r="AO28" s="203">
        <v>73.020134228187914</v>
      </c>
      <c r="AP28" s="202"/>
      <c r="AQ28" s="202">
        <v>151.54362416107381</v>
      </c>
      <c r="AR28" s="203">
        <v>230.46979865771812</v>
      </c>
      <c r="AS28" s="202">
        <v>230.46979865771812</v>
      </c>
      <c r="AT28" s="203">
        <v>281.61073825503354</v>
      </c>
      <c r="AU28" s="202"/>
      <c r="AV28" s="202">
        <v>279.59731543624162</v>
      </c>
      <c r="AW28" s="203">
        <v>262.14765100671138</v>
      </c>
      <c r="AX28" s="202">
        <v>286.57718120805367</v>
      </c>
      <c r="AY28" s="203">
        <v>177.18120805369128</v>
      </c>
      <c r="AZ28" s="202"/>
      <c r="BA28" s="202">
        <v>210.06711409395973</v>
      </c>
      <c r="BB28" s="203">
        <v>251.67785234899327</v>
      </c>
      <c r="BC28" s="202">
        <v>202.28187919463087</v>
      </c>
      <c r="BD28" s="203">
        <v>143.9</v>
      </c>
      <c r="BE28" s="202"/>
      <c r="BF28" s="202">
        <v>197.9</v>
      </c>
      <c r="BG28" s="203">
        <v>212.5</v>
      </c>
      <c r="BH28" s="202">
        <v>185</v>
      </c>
      <c r="BI28" s="203">
        <v>83</v>
      </c>
      <c r="BJ28" s="202"/>
      <c r="BK28" s="202">
        <v>635.4</v>
      </c>
      <c r="BL28" s="203">
        <v>773.8</v>
      </c>
      <c r="BM28" s="202">
        <v>744.6</v>
      </c>
      <c r="BN28" s="203">
        <v>332.8</v>
      </c>
      <c r="BO28" s="202"/>
      <c r="BP28" s="202">
        <v>456.4</v>
      </c>
      <c r="BQ28" s="203">
        <v>414</v>
      </c>
      <c r="BR28" s="202">
        <v>312.60000000000002</v>
      </c>
      <c r="BS28" s="203">
        <v>268.39999999999998</v>
      </c>
      <c r="BT28" s="202"/>
      <c r="BU28" s="202">
        <v>305.10000000000002</v>
      </c>
      <c r="BV28" s="203">
        <v>304.5</v>
      </c>
      <c r="BW28" s="202">
        <v>317</v>
      </c>
      <c r="BX28" s="203">
        <v>206.4</v>
      </c>
    </row>
    <row r="29" spans="1:76" x14ac:dyDescent="0.2">
      <c r="A29" s="15" t="s">
        <v>192</v>
      </c>
      <c r="C29" s="202"/>
      <c r="D29" s="203"/>
      <c r="E29" s="202"/>
      <c r="F29" s="203"/>
      <c r="G29" s="204"/>
      <c r="H29" s="202"/>
      <c r="I29" s="203"/>
      <c r="J29" s="202"/>
      <c r="K29" s="203"/>
      <c r="L29" s="204"/>
      <c r="M29" s="202"/>
      <c r="N29" s="203"/>
      <c r="O29" s="202"/>
      <c r="P29" s="203"/>
      <c r="Q29" s="204"/>
      <c r="R29" s="202"/>
      <c r="S29" s="203"/>
      <c r="T29" s="202"/>
      <c r="U29" s="203"/>
      <c r="V29" s="204"/>
      <c r="W29" s="202"/>
      <c r="X29" s="203"/>
      <c r="Y29" s="202"/>
      <c r="Z29" s="203"/>
      <c r="AA29" s="202"/>
      <c r="AB29" s="202"/>
      <c r="AC29" s="203"/>
      <c r="AD29" s="202"/>
      <c r="AE29" s="203"/>
      <c r="AF29" s="202"/>
      <c r="AG29" s="202"/>
      <c r="AH29" s="203"/>
      <c r="AI29" s="202"/>
      <c r="AJ29" s="203"/>
      <c r="AK29" s="202"/>
      <c r="AL29" s="202"/>
      <c r="AM29" s="203"/>
      <c r="AN29" s="202"/>
      <c r="AO29" s="203"/>
      <c r="AP29" s="202"/>
      <c r="AQ29" s="202"/>
      <c r="AR29" s="203"/>
      <c r="AS29" s="202"/>
      <c r="AT29" s="203"/>
      <c r="AU29" s="202"/>
      <c r="AV29" s="202"/>
      <c r="AW29" s="203"/>
      <c r="AX29" s="202"/>
      <c r="AY29" s="203"/>
      <c r="AZ29" s="202"/>
      <c r="BA29" s="202"/>
      <c r="BB29" s="203"/>
      <c r="BC29" s="202"/>
      <c r="BD29" s="203"/>
      <c r="BE29" s="202"/>
      <c r="BF29" s="202"/>
      <c r="BG29" s="203"/>
      <c r="BH29" s="202"/>
      <c r="BI29" s="203"/>
      <c r="BJ29" s="202"/>
      <c r="BK29" s="202"/>
      <c r="BL29" s="203"/>
      <c r="BM29" s="202"/>
      <c r="BN29" s="203"/>
      <c r="BO29" s="202"/>
      <c r="BP29" s="202"/>
      <c r="BQ29" s="203"/>
      <c r="BR29" s="202"/>
      <c r="BS29" s="203"/>
      <c r="BT29" s="202"/>
      <c r="BU29" s="202">
        <v>5</v>
      </c>
      <c r="BV29" s="203">
        <v>4.5</v>
      </c>
      <c r="BW29" s="202">
        <v>4.7</v>
      </c>
      <c r="BX29" s="203">
        <v>6</v>
      </c>
    </row>
    <row r="30" spans="1:76" x14ac:dyDescent="0.2">
      <c r="A30" s="15" t="s">
        <v>82</v>
      </c>
      <c r="C30" s="202">
        <v>24.697986577181208</v>
      </c>
      <c r="D30" s="203">
        <v>36.107382550335572</v>
      </c>
      <c r="E30" s="202">
        <v>32.348993288590606</v>
      </c>
      <c r="F30" s="203">
        <v>29.261744966442951</v>
      </c>
      <c r="G30" s="204"/>
      <c r="H30" s="202">
        <v>63.624161073825505</v>
      </c>
      <c r="I30" s="203">
        <v>103.89261744966443</v>
      </c>
      <c r="J30" s="202">
        <v>76.77852348993288</v>
      </c>
      <c r="K30" s="203">
        <v>83.758389261744966</v>
      </c>
      <c r="L30" s="204"/>
      <c r="M30" s="202">
        <v>88.724832214765101</v>
      </c>
      <c r="N30" s="203">
        <v>119.32885906040268</v>
      </c>
      <c r="O30" s="202">
        <v>125.7718120805369</v>
      </c>
      <c r="P30" s="203">
        <v>161.74496644295303</v>
      </c>
      <c r="Q30" s="204"/>
      <c r="R30" s="202">
        <v>169.93288590604027</v>
      </c>
      <c r="S30" s="203">
        <v>233.69127516778522</v>
      </c>
      <c r="T30" s="202">
        <v>223.35570469798657</v>
      </c>
      <c r="U30" s="203">
        <v>189.93288590604027</v>
      </c>
      <c r="V30" s="204"/>
      <c r="W30" s="202">
        <v>166.84563758389262</v>
      </c>
      <c r="X30" s="203">
        <v>110.87248322147651</v>
      </c>
      <c r="Y30" s="202">
        <v>83.087248322147644</v>
      </c>
      <c r="Z30" s="203">
        <v>124.29530201342281</v>
      </c>
      <c r="AA30" s="202"/>
      <c r="AB30" s="202">
        <v>151.81208053691276</v>
      </c>
      <c r="AC30" s="203">
        <v>179.59731543624162</v>
      </c>
      <c r="AD30" s="202">
        <v>200.13422818791946</v>
      </c>
      <c r="AE30" s="203">
        <v>128.45637583892616</v>
      </c>
      <c r="AF30" s="202"/>
      <c r="AG30" s="202">
        <v>138.38926174496643</v>
      </c>
      <c r="AH30" s="203">
        <v>145.63758389261744</v>
      </c>
      <c r="AI30" s="202">
        <v>164.69798657718121</v>
      </c>
      <c r="AJ30" s="203">
        <v>161.47651006711408</v>
      </c>
      <c r="AK30" s="202"/>
      <c r="AL30" s="202">
        <v>135.30201342281879</v>
      </c>
      <c r="AM30" s="203">
        <v>145.63758389261744</v>
      </c>
      <c r="AN30" s="202">
        <v>145.1006711409396</v>
      </c>
      <c r="AO30" s="203">
        <v>244.69798657718121</v>
      </c>
      <c r="AP30" s="202"/>
      <c r="AQ30" s="202">
        <v>281.07382550335569</v>
      </c>
      <c r="AR30" s="203">
        <v>223.08724832214764</v>
      </c>
      <c r="AS30" s="202">
        <v>204.42953020134229</v>
      </c>
      <c r="AT30" s="203">
        <v>64.429530201342274</v>
      </c>
      <c r="AU30" s="202"/>
      <c r="AV30" s="202">
        <v>59.865771812080538</v>
      </c>
      <c r="AW30" s="203">
        <v>58.120805369127517</v>
      </c>
      <c r="AX30" s="202">
        <v>48.322147651006709</v>
      </c>
      <c r="AY30" s="203">
        <v>35.973154362416103</v>
      </c>
      <c r="AZ30" s="202"/>
      <c r="BA30" s="202">
        <v>19.19463087248322</v>
      </c>
      <c r="BB30" s="203">
        <v>15.436241610738255</v>
      </c>
      <c r="BC30" s="202">
        <v>13.020134228187919</v>
      </c>
      <c r="BD30" s="203">
        <v>11.6</v>
      </c>
      <c r="BE30" s="202"/>
      <c r="BF30" s="202">
        <v>15.2</v>
      </c>
      <c r="BG30" s="203">
        <v>16.3</v>
      </c>
      <c r="BH30" s="202">
        <v>15.7</v>
      </c>
      <c r="BI30" s="203">
        <v>10.5</v>
      </c>
      <c r="BJ30" s="202"/>
      <c r="BK30" s="202">
        <v>12.8</v>
      </c>
      <c r="BL30" s="203">
        <v>27.4</v>
      </c>
      <c r="BM30" s="202">
        <v>22.3</v>
      </c>
      <c r="BN30" s="203">
        <v>7.2</v>
      </c>
      <c r="BO30" s="202"/>
      <c r="BP30" s="202">
        <v>6.5</v>
      </c>
      <c r="BQ30" s="203">
        <v>7.3</v>
      </c>
      <c r="BR30" s="202">
        <v>4.9000000000000004</v>
      </c>
      <c r="BS30" s="203">
        <v>8.1999999999999993</v>
      </c>
      <c r="BT30" s="202"/>
      <c r="BU30" s="229">
        <v>5.8</v>
      </c>
      <c r="BV30" s="203">
        <v>7.1</v>
      </c>
      <c r="BW30" s="202">
        <v>6</v>
      </c>
      <c r="BX30" s="203">
        <v>5.2</v>
      </c>
    </row>
    <row r="31" spans="1:76" s="104" customFormat="1" x14ac:dyDescent="0.2">
      <c r="A31" s="104" t="s">
        <v>65</v>
      </c>
      <c r="B31" s="151"/>
      <c r="C31" s="212">
        <v>251.27516778523488</v>
      </c>
      <c r="D31" s="213">
        <v>263.75838926174498</v>
      </c>
      <c r="E31" s="212">
        <v>255.57046979865771</v>
      </c>
      <c r="F31" s="213">
        <v>258.79194630872485</v>
      </c>
      <c r="G31" s="214"/>
      <c r="H31" s="212">
        <v>255.30201342281879</v>
      </c>
      <c r="I31" s="213">
        <v>300.13422818791946</v>
      </c>
      <c r="J31" s="212">
        <v>313.95973154362417</v>
      </c>
      <c r="K31" s="213">
        <v>285.36912751677852</v>
      </c>
      <c r="L31" s="214"/>
      <c r="M31" s="212">
        <v>317.18120805369125</v>
      </c>
      <c r="N31" s="213">
        <v>366.44295302013421</v>
      </c>
      <c r="O31" s="212">
        <v>409.93288590604027</v>
      </c>
      <c r="P31" s="213">
        <f>(1126+1668)/7.45</f>
        <v>375.03355704697987</v>
      </c>
      <c r="Q31" s="214"/>
      <c r="R31" s="212">
        <v>415.30201342281879</v>
      </c>
      <c r="S31" s="213">
        <v>418.25503355704694</v>
      </c>
      <c r="T31" s="212">
        <v>410.20134228187919</v>
      </c>
      <c r="U31" s="213">
        <f>(2998+109+139)/7.45</f>
        <v>435.70469798657717</v>
      </c>
      <c r="V31" s="214"/>
      <c r="W31" s="212">
        <v>441.07382550335569</v>
      </c>
      <c r="X31" s="213">
        <f>(117.2+984.1+1998.2)/7.45</f>
        <v>416.04026845637583</v>
      </c>
      <c r="Y31" s="212">
        <v>429.66442953020135</v>
      </c>
      <c r="Z31" s="213">
        <v>397.31543624161071</v>
      </c>
      <c r="AA31" s="212"/>
      <c r="AB31" s="212">
        <v>452.48322147651004</v>
      </c>
      <c r="AC31" s="213">
        <v>466.17449664429529</v>
      </c>
      <c r="AD31" s="212">
        <v>459.32885906040269</v>
      </c>
      <c r="AE31" s="213">
        <v>463.35570469798654</v>
      </c>
      <c r="AF31" s="212"/>
      <c r="AG31" s="212">
        <v>534.89932885906035</v>
      </c>
      <c r="AH31" s="213">
        <v>508.85906040268458</v>
      </c>
      <c r="AI31" s="212">
        <v>568.05369127516781</v>
      </c>
      <c r="AJ31" s="213">
        <v>537.44966442953023</v>
      </c>
      <c r="AK31" s="212"/>
      <c r="AL31" s="212">
        <v>564.29530201342277</v>
      </c>
      <c r="AM31" s="213">
        <v>578.92617449664431</v>
      </c>
      <c r="AN31" s="212">
        <v>524.42953020134223</v>
      </c>
      <c r="AO31" s="213">
        <v>559.86577181208054</v>
      </c>
      <c r="AP31" s="212"/>
      <c r="AQ31" s="212">
        <v>561.07382550335569</v>
      </c>
      <c r="AR31" s="213">
        <v>494.36241610738256</v>
      </c>
      <c r="AS31" s="212">
        <v>538.38926174496646</v>
      </c>
      <c r="AT31" s="213">
        <v>534.89932885906035</v>
      </c>
      <c r="AU31" s="212"/>
      <c r="AV31" s="212">
        <v>578.12080536912754</v>
      </c>
      <c r="AW31" s="213">
        <v>566.71140939597319</v>
      </c>
      <c r="AX31" s="212">
        <v>567.3825503355705</v>
      </c>
      <c r="AY31" s="213">
        <v>523.75838926174492</v>
      </c>
      <c r="AZ31" s="212"/>
      <c r="BA31" s="212">
        <v>665.36912751677846</v>
      </c>
      <c r="BB31" s="213">
        <v>672.34899328859058</v>
      </c>
      <c r="BC31" s="212">
        <v>601.47651006711408</v>
      </c>
      <c r="BD31" s="213">
        <v>601.1</v>
      </c>
      <c r="BE31" s="212"/>
      <c r="BF31" s="212">
        <v>607.29999999999995</v>
      </c>
      <c r="BG31" s="213">
        <v>643.79999999999995</v>
      </c>
      <c r="BH31" s="212">
        <f>568</f>
        <v>568</v>
      </c>
      <c r="BI31" s="213">
        <v>296.60000000000002</v>
      </c>
      <c r="BJ31" s="212"/>
      <c r="BK31" s="212">
        <v>632</v>
      </c>
      <c r="BL31" s="213">
        <v>605.4</v>
      </c>
      <c r="BM31" s="212">
        <f>561.1+28</f>
        <v>589.1</v>
      </c>
      <c r="BN31" s="213">
        <f>582.2+11.7+13.5</f>
        <v>607.40000000000009</v>
      </c>
      <c r="BO31" s="212"/>
      <c r="BP31" s="212">
        <f>538.7+15.1</f>
        <v>553.80000000000007</v>
      </c>
      <c r="BQ31" s="213">
        <f>591.4+14.4</f>
        <v>605.79999999999995</v>
      </c>
      <c r="BR31" s="212">
        <f>551.7+14.1</f>
        <v>565.80000000000007</v>
      </c>
      <c r="BS31" s="213">
        <f>558.3+0.8+13.2</f>
        <v>572.29999999999995</v>
      </c>
      <c r="BT31" s="212"/>
      <c r="BU31" s="212">
        <f>526.9+14.2</f>
        <v>541.1</v>
      </c>
      <c r="BV31" s="213">
        <f>580.4+16.8</f>
        <v>597.19999999999993</v>
      </c>
      <c r="BW31" s="212">
        <f>602.9+14.8</f>
        <v>617.69999999999993</v>
      </c>
      <c r="BX31" s="213">
        <f>286.3+139+186.3+1.9+20.9</f>
        <v>634.4</v>
      </c>
    </row>
    <row r="32" spans="1:76" s="104" customFormat="1" x14ac:dyDescent="0.2">
      <c r="A32" s="104" t="s">
        <v>149</v>
      </c>
      <c r="B32" s="151"/>
      <c r="C32" s="212"/>
      <c r="D32" s="213"/>
      <c r="E32" s="212"/>
      <c r="F32" s="213"/>
      <c r="G32" s="214"/>
      <c r="H32" s="212"/>
      <c r="I32" s="213"/>
      <c r="J32" s="212"/>
      <c r="K32" s="213"/>
      <c r="L32" s="214"/>
      <c r="M32" s="212"/>
      <c r="N32" s="213"/>
      <c r="O32" s="212"/>
      <c r="P32" s="213"/>
      <c r="Q32" s="214"/>
      <c r="R32" s="212"/>
      <c r="S32" s="213"/>
      <c r="T32" s="212"/>
      <c r="U32" s="213"/>
      <c r="V32" s="214"/>
      <c r="W32" s="212"/>
      <c r="X32" s="213"/>
      <c r="Y32" s="212"/>
      <c r="Z32" s="213"/>
      <c r="AA32" s="212"/>
      <c r="AB32" s="212"/>
      <c r="AC32" s="213"/>
      <c r="AD32" s="212"/>
      <c r="AE32" s="213"/>
      <c r="AF32" s="212"/>
      <c r="AG32" s="212"/>
      <c r="AH32" s="213"/>
      <c r="AI32" s="212"/>
      <c r="AJ32" s="213"/>
      <c r="AK32" s="212"/>
      <c r="AL32" s="212"/>
      <c r="AM32" s="213"/>
      <c r="AN32" s="212"/>
      <c r="AO32" s="213"/>
      <c r="AP32" s="212"/>
      <c r="AQ32" s="212"/>
      <c r="AR32" s="213"/>
      <c r="AS32" s="212"/>
      <c r="AT32" s="213"/>
      <c r="AU32" s="212"/>
      <c r="AV32" s="212"/>
      <c r="AW32" s="213"/>
      <c r="AX32" s="212"/>
      <c r="AY32" s="213"/>
      <c r="AZ32" s="212"/>
      <c r="BA32" s="212"/>
      <c r="BB32" s="213"/>
      <c r="BC32" s="212"/>
      <c r="BD32" s="213"/>
      <c r="BE32" s="212"/>
      <c r="BF32" s="212"/>
      <c r="BG32" s="213"/>
      <c r="BH32" s="212">
        <v>81.8</v>
      </c>
      <c r="BI32" s="213">
        <f>307.1+24.6</f>
        <v>331.70000000000005</v>
      </c>
      <c r="BJ32" s="212"/>
      <c r="BK32" s="212">
        <v>305.8</v>
      </c>
      <c r="BL32" s="213">
        <v>293.10000000000002</v>
      </c>
      <c r="BM32" s="212">
        <v>298</v>
      </c>
      <c r="BN32" s="213">
        <v>0</v>
      </c>
      <c r="BO32" s="212"/>
      <c r="BP32" s="212"/>
      <c r="BQ32" s="213"/>
      <c r="BR32" s="212"/>
      <c r="BS32" s="213"/>
      <c r="BT32" s="212"/>
      <c r="BU32" s="212"/>
      <c r="BV32" s="213"/>
      <c r="BW32" s="212"/>
      <c r="BX32" s="213"/>
    </row>
    <row r="33" spans="1:76" s="100" customFormat="1" x14ac:dyDescent="0.2">
      <c r="A33" s="100" t="s">
        <v>66</v>
      </c>
      <c r="B33" s="101"/>
      <c r="C33" s="208">
        <f>SUM(C25:C31)</f>
        <v>794.89932885906035</v>
      </c>
      <c r="D33" s="209">
        <f>SUM(D25:D31)</f>
        <v>809.530201342282</v>
      </c>
      <c r="E33" s="208">
        <f>SUM(E25:E31)</f>
        <v>819.06040268456377</v>
      </c>
      <c r="F33" s="209">
        <f>SUM(F25:F31)</f>
        <v>829.1275167785235</v>
      </c>
      <c r="G33" s="210"/>
      <c r="H33" s="208">
        <f>SUM(H25:H31)</f>
        <v>866.71140939597308</v>
      </c>
      <c r="I33" s="209">
        <f>SUM(I25:I31)</f>
        <v>928.32214765100673</v>
      </c>
      <c r="J33" s="208">
        <f>SUM(J25:J31)</f>
        <v>924.83221476510062</v>
      </c>
      <c r="K33" s="209">
        <f>SUM(K25:K31)</f>
        <v>986.57718120805362</v>
      </c>
      <c r="L33" s="210"/>
      <c r="M33" s="208">
        <f>SUM(M25:M31)</f>
        <v>1072.4832214765099</v>
      </c>
      <c r="N33" s="209">
        <f>SUM(N25:N31)</f>
        <v>1152.7516778523488</v>
      </c>
      <c r="O33" s="208">
        <f>SUM(O25:O31)</f>
        <v>1229.6644295302012</v>
      </c>
      <c r="P33" s="209">
        <f>SUM(P25:P31)</f>
        <v>1221.3422818791946</v>
      </c>
      <c r="Q33" s="210"/>
      <c r="R33" s="208">
        <f>SUM(R25:R31)</f>
        <v>1295.9731543624162</v>
      </c>
      <c r="S33" s="209">
        <f>SUM(S25:S31)</f>
        <v>1373.2885906040267</v>
      </c>
      <c r="T33" s="208">
        <f>SUM(T25:T31)</f>
        <v>1383.7583892617449</v>
      </c>
      <c r="U33" s="209">
        <f>SUM(U25:U31)</f>
        <v>1333.5570469798656</v>
      </c>
      <c r="V33" s="210"/>
      <c r="W33" s="208">
        <f>SUM(W25:W31)</f>
        <v>1306.7114093959731</v>
      </c>
      <c r="X33" s="209">
        <f>SUM(X25:X31)</f>
        <v>1327.3691275167787</v>
      </c>
      <c r="Y33" s="208">
        <f>SUM(Y25:Y31)</f>
        <v>1354.7651006711408</v>
      </c>
      <c r="Z33" s="209">
        <f>SUM(Z25:Z31)</f>
        <v>1358.9261744966443</v>
      </c>
      <c r="AA33" s="208"/>
      <c r="AB33" s="208">
        <f>SUM(AB25:AB31)</f>
        <v>1498.1208053691275</v>
      </c>
      <c r="AC33" s="209">
        <f>SUM(AC25:AC31)</f>
        <v>1628.724832214765</v>
      </c>
      <c r="AD33" s="208">
        <f>SUM(AD25:AD31)</f>
        <v>1658.1208053691275</v>
      </c>
      <c r="AE33" s="209">
        <f>SUM(AE25:AE31)</f>
        <v>1685.3691275167785</v>
      </c>
      <c r="AF33" s="208"/>
      <c r="AG33" s="208">
        <f>SUM(AG25:AG31)</f>
        <v>1833.5570469798658</v>
      </c>
      <c r="AH33" s="209">
        <f>SUM(AH25:AH31)</f>
        <v>1816.1073825503354</v>
      </c>
      <c r="AI33" s="208">
        <f>SUM(AI25:AI31)</f>
        <v>1826.4429530201342</v>
      </c>
      <c r="AJ33" s="209">
        <f>SUM(AJ25:AJ31)</f>
        <v>1803.8926174496644</v>
      </c>
      <c r="AK33" s="208"/>
      <c r="AL33" s="208">
        <f>SUM(AL25:AL31)</f>
        <v>1848.4563758389261</v>
      </c>
      <c r="AM33" s="209">
        <f>SUM(AM25:AM31)</f>
        <v>1796.6442953020132</v>
      </c>
      <c r="AN33" s="208">
        <f>SUM(AN25:AN31)</f>
        <v>1772.8859060402683</v>
      </c>
      <c r="AO33" s="209">
        <f>SUM(AO25:AO31)</f>
        <v>1736.3758389261745</v>
      </c>
      <c r="AP33" s="208"/>
      <c r="AQ33" s="208">
        <f>SUM(AQ25:AQ31)</f>
        <v>1833.6912751677851</v>
      </c>
      <c r="AR33" s="209">
        <f>SUM(AR25:AR31)</f>
        <v>1791.275167785235</v>
      </c>
      <c r="AS33" s="208">
        <f>SUM(AS25:AS31)</f>
        <v>1816.6442953020135</v>
      </c>
      <c r="AT33" s="209">
        <f>SUM(AT25:AT31)</f>
        <v>1744.2416107382546</v>
      </c>
      <c r="AU33" s="208"/>
      <c r="AV33" s="208">
        <f>SUM(AV25:AV31)</f>
        <v>1763.489932885906</v>
      </c>
      <c r="AW33" s="209">
        <f>SUM(AW25:AW31)</f>
        <v>1751.8120805369126</v>
      </c>
      <c r="AX33" s="208">
        <f>SUM(AX25:AX31)</f>
        <v>1802.9530201342282</v>
      </c>
      <c r="AY33" s="209">
        <f>SUM(AY25:AY31)</f>
        <v>1656.1073825503356</v>
      </c>
      <c r="AZ33" s="208"/>
      <c r="BA33" s="208">
        <f>SUM(BA25:BA31)</f>
        <v>1851.4093959731545</v>
      </c>
      <c r="BB33" s="209">
        <f>SUM(BB25:BB31)</f>
        <v>1860.6711409395971</v>
      </c>
      <c r="BC33" s="208">
        <f>SUM(BC25:BC31)</f>
        <v>1735.8389261744967</v>
      </c>
      <c r="BD33" s="209">
        <f>SUM(BD25:BD31)</f>
        <v>1683.6</v>
      </c>
      <c r="BE33" s="208"/>
      <c r="BF33" s="208">
        <f>SUM(BF25:BF32)</f>
        <v>1736.4395973154362</v>
      </c>
      <c r="BG33" s="209">
        <f>SUM(BG25:BG32)</f>
        <v>1787.1999999999998</v>
      </c>
      <c r="BH33" s="208">
        <f>SUM(BH25:BH32)</f>
        <v>1728.6</v>
      </c>
      <c r="BI33" s="209">
        <f>SUM(BI25:BI32)</f>
        <v>1747.1000000000001</v>
      </c>
      <c r="BJ33" s="208"/>
      <c r="BK33" s="208">
        <f>SUM(BK25:BK32)</f>
        <v>2682.4000000000005</v>
      </c>
      <c r="BL33" s="209">
        <f>SUM(BL25:BL32)</f>
        <v>2808.9</v>
      </c>
      <c r="BM33" s="208">
        <f>SUM(BM25:BM32)</f>
        <v>2785.5</v>
      </c>
      <c r="BN33" s="209">
        <f>SUM(BN25:BN32)</f>
        <v>1904.6000000000001</v>
      </c>
      <c r="BO33" s="208"/>
      <c r="BP33" s="208">
        <f>SUM(BP25:BP32)</f>
        <v>1923.3000000000002</v>
      </c>
      <c r="BQ33" s="209">
        <f>SUM(BQ25:BQ32)</f>
        <v>1926.4</v>
      </c>
      <c r="BR33" s="208">
        <f>SUM(BR25:BR32)</f>
        <v>1938.0000000000005</v>
      </c>
      <c r="BS33" s="209">
        <f>SUM(BS25:BS32)</f>
        <v>1859.1999999999998</v>
      </c>
      <c r="BT33" s="208"/>
      <c r="BU33" s="208">
        <f>SUM(BU25:BU32)</f>
        <v>1867.8000000000002</v>
      </c>
      <c r="BV33" s="209">
        <f>SUM(BV25:BV32)</f>
        <v>1895.8999999999996</v>
      </c>
      <c r="BW33" s="208">
        <f>SUM(BW25:BW32)</f>
        <v>1886.3000000000002</v>
      </c>
      <c r="BX33" s="209">
        <f>SUM(BX25:BX32)</f>
        <v>1789.4</v>
      </c>
    </row>
    <row r="34" spans="1:76" x14ac:dyDescent="0.2">
      <c r="C34" s="212"/>
      <c r="D34" s="213"/>
      <c r="E34" s="212"/>
      <c r="F34" s="213"/>
      <c r="G34" s="204"/>
      <c r="H34" s="212"/>
      <c r="I34" s="213"/>
      <c r="J34" s="212"/>
      <c r="K34" s="213"/>
      <c r="L34" s="204"/>
      <c r="M34" s="212"/>
      <c r="N34" s="213"/>
      <c r="O34" s="212"/>
      <c r="P34" s="213"/>
      <c r="Q34" s="204"/>
      <c r="R34" s="212"/>
      <c r="S34" s="213"/>
      <c r="T34" s="212"/>
      <c r="U34" s="213"/>
      <c r="V34" s="204"/>
      <c r="W34" s="212"/>
      <c r="X34" s="213"/>
      <c r="Y34" s="212"/>
      <c r="Z34" s="213"/>
      <c r="AA34" s="202"/>
      <c r="AB34" s="212"/>
      <c r="AC34" s="213"/>
      <c r="AD34" s="212"/>
      <c r="AE34" s="213"/>
      <c r="AF34" s="202"/>
      <c r="AG34" s="212"/>
      <c r="AH34" s="213"/>
      <c r="AI34" s="212"/>
      <c r="AJ34" s="213"/>
      <c r="AK34" s="202"/>
      <c r="AL34" s="212"/>
      <c r="AM34" s="213"/>
      <c r="AN34" s="212"/>
      <c r="AO34" s="213"/>
      <c r="AP34" s="202"/>
      <c r="AQ34" s="212"/>
      <c r="AR34" s="213"/>
      <c r="AS34" s="212"/>
      <c r="AT34" s="213"/>
      <c r="AU34" s="202"/>
      <c r="AV34" s="212"/>
      <c r="AW34" s="213"/>
      <c r="AX34" s="212"/>
      <c r="AY34" s="213"/>
      <c r="AZ34" s="202"/>
      <c r="BA34" s="212"/>
      <c r="BB34" s="213"/>
      <c r="BC34" s="212"/>
      <c r="BD34" s="213"/>
      <c r="BE34" s="202"/>
      <c r="BF34" s="212"/>
      <c r="BG34" s="213"/>
      <c r="BH34" s="212"/>
      <c r="BI34" s="213"/>
      <c r="BJ34" s="202"/>
      <c r="BK34" s="212"/>
      <c r="BL34" s="213"/>
      <c r="BM34" s="212"/>
      <c r="BN34" s="213"/>
      <c r="BO34" s="202"/>
      <c r="BP34" s="212"/>
      <c r="BQ34" s="213"/>
      <c r="BR34" s="212"/>
      <c r="BS34" s="213"/>
      <c r="BT34" s="202"/>
      <c r="BU34" s="212"/>
      <c r="BV34" s="213"/>
      <c r="BW34" s="212"/>
      <c r="BX34" s="213"/>
    </row>
    <row r="35" spans="1:76" x14ac:dyDescent="0.2">
      <c r="A35" s="105"/>
      <c r="B35" s="95"/>
      <c r="C35" s="219"/>
      <c r="D35" s="220"/>
      <c r="E35" s="219"/>
      <c r="F35" s="220"/>
      <c r="G35" s="221"/>
      <c r="H35" s="219"/>
      <c r="I35" s="220"/>
      <c r="J35" s="219"/>
      <c r="K35" s="220"/>
      <c r="L35" s="221"/>
      <c r="M35" s="222"/>
      <c r="N35" s="223"/>
      <c r="O35" s="222"/>
      <c r="P35" s="223"/>
      <c r="Q35" s="221"/>
      <c r="R35" s="221"/>
      <c r="S35" s="224"/>
      <c r="T35" s="221"/>
      <c r="U35" s="224"/>
      <c r="V35" s="221"/>
      <c r="W35" s="222"/>
      <c r="X35" s="223"/>
      <c r="Y35" s="222"/>
      <c r="Z35" s="223"/>
      <c r="AA35" s="202"/>
      <c r="AB35" s="222"/>
      <c r="AC35" s="223"/>
      <c r="AD35" s="222"/>
      <c r="AE35" s="223"/>
      <c r="AF35" s="202"/>
      <c r="AG35" s="222"/>
      <c r="AH35" s="223"/>
      <c r="AI35" s="222"/>
      <c r="AJ35" s="223"/>
      <c r="AK35" s="202"/>
      <c r="AL35" s="222"/>
      <c r="AM35" s="223"/>
      <c r="AN35" s="222"/>
      <c r="AO35" s="223"/>
      <c r="AP35" s="202"/>
      <c r="AQ35" s="222"/>
      <c r="AR35" s="223"/>
      <c r="AS35" s="222"/>
      <c r="AT35" s="223"/>
      <c r="AU35" s="202"/>
      <c r="AV35" s="222"/>
      <c r="AW35" s="223"/>
      <c r="AX35" s="222"/>
      <c r="AY35" s="223"/>
      <c r="AZ35" s="202"/>
      <c r="BA35" s="222"/>
      <c r="BB35" s="223"/>
      <c r="BC35" s="222"/>
      <c r="BD35" s="223"/>
      <c r="BE35" s="202"/>
      <c r="BF35" s="222"/>
      <c r="BG35" s="223"/>
      <c r="BH35" s="222"/>
      <c r="BI35" s="223"/>
      <c r="BJ35" s="202"/>
      <c r="BK35" s="222"/>
      <c r="BL35" s="223"/>
      <c r="BM35" s="222"/>
      <c r="BN35" s="223"/>
      <c r="BO35" s="202"/>
      <c r="BP35" s="222"/>
      <c r="BQ35" s="223"/>
      <c r="BR35" s="222"/>
      <c r="BS35" s="223"/>
      <c r="BT35" s="202"/>
      <c r="BU35" s="222"/>
      <c r="BV35" s="223"/>
      <c r="BW35" s="222"/>
      <c r="BX35" s="223"/>
    </row>
    <row r="36" spans="1:76" s="108" customFormat="1" x14ac:dyDescent="0.2">
      <c r="A36" s="106" t="s">
        <v>67</v>
      </c>
      <c r="B36" s="107"/>
      <c r="C36" s="225"/>
      <c r="D36" s="226"/>
      <c r="E36" s="225"/>
      <c r="F36" s="226"/>
      <c r="G36" s="227"/>
      <c r="H36" s="225"/>
      <c r="I36" s="226"/>
      <c r="J36" s="225"/>
      <c r="K36" s="226"/>
      <c r="L36" s="227"/>
      <c r="M36" s="225"/>
      <c r="N36" s="226"/>
      <c r="O36" s="225"/>
      <c r="P36" s="226"/>
      <c r="Q36" s="227"/>
      <c r="R36" s="225"/>
      <c r="S36" s="226"/>
      <c r="T36" s="225"/>
      <c r="U36" s="226"/>
      <c r="V36" s="227"/>
      <c r="W36" s="225"/>
      <c r="X36" s="226"/>
      <c r="Y36" s="225"/>
      <c r="Z36" s="226"/>
      <c r="AA36" s="228"/>
      <c r="AB36" s="225"/>
      <c r="AC36" s="226"/>
      <c r="AD36" s="225"/>
      <c r="AE36" s="226"/>
      <c r="AF36" s="228"/>
      <c r="AG36" s="225"/>
      <c r="AH36" s="226"/>
      <c r="AI36" s="225"/>
      <c r="AJ36" s="226"/>
      <c r="AK36" s="228"/>
      <c r="AL36" s="225"/>
      <c r="AM36" s="226"/>
      <c r="AN36" s="225"/>
      <c r="AO36" s="226"/>
      <c r="AP36" s="228"/>
      <c r="AQ36" s="225"/>
      <c r="AR36" s="226"/>
      <c r="AS36" s="225"/>
      <c r="AT36" s="226"/>
      <c r="AU36" s="228"/>
      <c r="AV36" s="225"/>
      <c r="AW36" s="226"/>
      <c r="AX36" s="225"/>
      <c r="AY36" s="226"/>
      <c r="AZ36" s="228"/>
      <c r="BA36" s="225"/>
      <c r="BB36" s="226"/>
      <c r="BC36" s="225"/>
      <c r="BD36" s="226"/>
      <c r="BE36" s="228"/>
      <c r="BF36" s="225"/>
      <c r="BG36" s="226"/>
      <c r="BH36" s="225"/>
      <c r="BI36" s="226"/>
      <c r="BJ36" s="228"/>
      <c r="BK36" s="225"/>
      <c r="BL36" s="226"/>
      <c r="BM36" s="225"/>
      <c r="BN36" s="226"/>
      <c r="BO36" s="228"/>
      <c r="BP36" s="225"/>
      <c r="BQ36" s="226"/>
      <c r="BR36" s="225"/>
      <c r="BS36" s="226"/>
      <c r="BT36" s="228"/>
      <c r="BU36" s="225"/>
      <c r="BV36" s="226"/>
      <c r="BW36" s="225"/>
      <c r="BX36" s="226"/>
    </row>
    <row r="37" spans="1:76" x14ac:dyDescent="0.2">
      <c r="C37" s="202"/>
      <c r="D37" s="203"/>
      <c r="E37" s="202"/>
      <c r="F37" s="203"/>
      <c r="G37" s="204"/>
      <c r="H37" s="202"/>
      <c r="I37" s="203"/>
      <c r="J37" s="202"/>
      <c r="K37" s="203"/>
      <c r="L37" s="204"/>
      <c r="M37" s="202"/>
      <c r="N37" s="203"/>
      <c r="O37" s="202"/>
      <c r="P37" s="203"/>
      <c r="Q37" s="204"/>
      <c r="R37" s="202"/>
      <c r="S37" s="203"/>
      <c r="T37" s="202"/>
      <c r="U37" s="203"/>
      <c r="V37" s="204"/>
      <c r="W37" s="202"/>
      <c r="X37" s="203"/>
      <c r="Y37" s="202"/>
      <c r="Z37" s="203"/>
      <c r="AA37" s="202"/>
      <c r="AB37" s="202"/>
      <c r="AC37" s="203"/>
      <c r="AD37" s="202"/>
      <c r="AE37" s="203"/>
      <c r="AF37" s="202"/>
      <c r="AG37" s="202"/>
      <c r="AH37" s="203"/>
      <c r="AI37" s="202"/>
      <c r="AJ37" s="203"/>
      <c r="AK37" s="202"/>
      <c r="AL37" s="202"/>
      <c r="AM37" s="203"/>
      <c r="AN37" s="202"/>
      <c r="AO37" s="203"/>
      <c r="AP37" s="202"/>
      <c r="AQ37" s="202"/>
      <c r="AR37" s="203"/>
      <c r="AS37" s="202"/>
      <c r="AT37" s="203"/>
      <c r="AU37" s="202"/>
      <c r="AV37" s="202"/>
      <c r="AW37" s="203"/>
      <c r="AX37" s="202"/>
      <c r="AY37" s="203"/>
      <c r="AZ37" s="202"/>
      <c r="BA37" s="202"/>
      <c r="BB37" s="203"/>
      <c r="BC37" s="202"/>
      <c r="BD37" s="203"/>
      <c r="BE37" s="202"/>
      <c r="BF37" s="202"/>
      <c r="BG37" s="203"/>
      <c r="BH37" s="202"/>
      <c r="BI37" s="203"/>
      <c r="BJ37" s="202"/>
      <c r="BK37" s="202"/>
      <c r="BL37" s="203"/>
      <c r="BM37" s="202"/>
      <c r="BN37" s="203"/>
      <c r="BO37" s="202"/>
      <c r="BP37" s="202"/>
      <c r="BQ37" s="203"/>
      <c r="BR37" s="202"/>
      <c r="BS37" s="203"/>
      <c r="BT37" s="202"/>
      <c r="BU37" s="202"/>
      <c r="BV37" s="203"/>
      <c r="BW37" s="202"/>
      <c r="BX37" s="203"/>
    </row>
    <row r="38" spans="1:76" x14ac:dyDescent="0.2">
      <c r="A38" s="15" t="s">
        <v>46</v>
      </c>
      <c r="C38" s="202">
        <v>369.1275167785235</v>
      </c>
      <c r="D38" s="203">
        <f>+C50</f>
        <v>375.83892617449663</v>
      </c>
      <c r="E38" s="202">
        <f>+D50</f>
        <v>370.73825503355704</v>
      </c>
      <c r="F38" s="203">
        <f>+E50</f>
        <v>353.82550335570471</v>
      </c>
      <c r="G38" s="204"/>
      <c r="H38" s="202">
        <f>F50</f>
        <v>367.11409395973152</v>
      </c>
      <c r="I38" s="203">
        <f>H50</f>
        <v>372.48322147651004</v>
      </c>
      <c r="J38" s="202">
        <f>I50</f>
        <v>348.5906040268456</v>
      </c>
      <c r="K38" s="203">
        <f>J50</f>
        <v>359.32885906040264</v>
      </c>
      <c r="L38" s="204"/>
      <c r="M38" s="202">
        <f>K50</f>
        <v>376.6442953020134</v>
      </c>
      <c r="N38" s="203">
        <f>+M50</f>
        <v>390.20134228187914</v>
      </c>
      <c r="O38" s="202">
        <f>+N50</f>
        <v>385.50335570469792</v>
      </c>
      <c r="P38" s="203">
        <f>+O50</f>
        <v>401.2080536912751</v>
      </c>
      <c r="Q38" s="204"/>
      <c r="R38" s="202">
        <f>+P50</f>
        <v>440.67114093959725</v>
      </c>
      <c r="S38" s="203">
        <f>+R50</f>
        <v>453.15436241610735</v>
      </c>
      <c r="T38" s="202">
        <f>+S50</f>
        <v>455.97315436241604</v>
      </c>
      <c r="U38" s="203">
        <f>+T50</f>
        <v>489.12751677852344</v>
      </c>
      <c r="V38" s="204"/>
      <c r="W38" s="202">
        <f>+U50</f>
        <v>465.06040268456371</v>
      </c>
      <c r="X38" s="203">
        <f>+W50</f>
        <v>467.47651006711402</v>
      </c>
      <c r="Y38" s="202">
        <f>+X50</f>
        <v>475.39597315436237</v>
      </c>
      <c r="Z38" s="203">
        <f>+Y50</f>
        <v>480.3624161073825</v>
      </c>
      <c r="AA38" s="202"/>
      <c r="AB38" s="202">
        <f>+Z50</f>
        <v>501.97315436241604</v>
      </c>
      <c r="AC38" s="203">
        <f>+AB50</f>
        <v>514.32214765100662</v>
      </c>
      <c r="AD38" s="202">
        <f>+AC50</f>
        <v>543.98657718120796</v>
      </c>
      <c r="AE38" s="203">
        <f>+AD50</f>
        <v>536.73825503355692</v>
      </c>
      <c r="AF38" s="202"/>
      <c r="AG38" s="202">
        <f>+AE50</f>
        <v>551.9060402684562</v>
      </c>
      <c r="AH38" s="203">
        <f>+AG50</f>
        <v>536.0671140939595</v>
      </c>
      <c r="AI38" s="202">
        <f>+AH50</f>
        <v>535.3959731543622</v>
      </c>
      <c r="AJ38" s="203">
        <f>+AI50</f>
        <v>537.67785234899316</v>
      </c>
      <c r="AK38" s="202"/>
      <c r="AL38" s="202">
        <f>+AJ50</f>
        <v>545.73154362416096</v>
      </c>
      <c r="AM38" s="203">
        <f>+AL50</f>
        <v>553.24832214765081</v>
      </c>
      <c r="AN38" s="202">
        <f>+AM50</f>
        <v>745.99999999999977</v>
      </c>
      <c r="AO38" s="203">
        <f>+AN50</f>
        <v>759.28859060402669</v>
      </c>
      <c r="AP38" s="202"/>
      <c r="AQ38" s="229">
        <f>+AO50</f>
        <v>770.02684563758373</v>
      </c>
      <c r="AR38" s="203">
        <f>+AQ50</f>
        <v>748.81879194630847</v>
      </c>
      <c r="AS38" s="202">
        <f>+AR50</f>
        <v>752.97986577181177</v>
      </c>
      <c r="AT38" s="203">
        <f>+AS50</f>
        <v>754.05369127516747</v>
      </c>
      <c r="AU38" s="202"/>
      <c r="AV38" s="229">
        <f>+AT50</f>
        <v>761.57046979865731</v>
      </c>
      <c r="AW38" s="203">
        <f>+AV50</f>
        <v>752.44295302013381</v>
      </c>
      <c r="AX38" s="202">
        <f>+AW50</f>
        <v>763.85234899328816</v>
      </c>
      <c r="AY38" s="203">
        <f>+AX50</f>
        <v>794.45637583892574</v>
      </c>
      <c r="AZ38" s="202"/>
      <c r="BA38" s="229">
        <f>+AY50</f>
        <v>801.9731543624157</v>
      </c>
      <c r="BB38" s="203">
        <f>+BA50</f>
        <v>847.87919463087201</v>
      </c>
      <c r="BC38" s="202">
        <f>+BB50</f>
        <v>803.44966442952966</v>
      </c>
      <c r="BD38" s="203">
        <f>+BC50</f>
        <v>799.69127516778474</v>
      </c>
      <c r="BE38" s="202"/>
      <c r="BF38" s="229">
        <f>+BD50</f>
        <v>809.45127516778484</v>
      </c>
      <c r="BG38" s="203">
        <f>+BF50</f>
        <v>802.95227516778493</v>
      </c>
      <c r="BH38" s="202">
        <f>+BG50</f>
        <v>801.65227516778498</v>
      </c>
      <c r="BI38" s="203">
        <f>+BH50</f>
        <v>760.15227516778498</v>
      </c>
      <c r="BJ38" s="202"/>
      <c r="BK38" s="229">
        <f>+BI50</f>
        <v>951.35227516778491</v>
      </c>
      <c r="BL38" s="203">
        <f>+BK50</f>
        <v>971.45227516778493</v>
      </c>
      <c r="BM38" s="202">
        <f>+BL50</f>
        <v>982.15227516778498</v>
      </c>
      <c r="BN38" s="203">
        <f>+BM50</f>
        <v>993.252275167785</v>
      </c>
      <c r="BO38" s="202"/>
      <c r="BP38" s="229">
        <f>+BN50</f>
        <v>816.25227516778523</v>
      </c>
      <c r="BQ38" s="203">
        <f>+BP50</f>
        <v>774.85227516778525</v>
      </c>
      <c r="BR38" s="202">
        <f>+BQ50</f>
        <v>767.15227516778532</v>
      </c>
      <c r="BS38" s="203">
        <f>+BR50</f>
        <v>924.45227516778527</v>
      </c>
      <c r="BT38" s="202"/>
      <c r="BU38" s="229">
        <f>+BS50</f>
        <v>895.55227516778518</v>
      </c>
      <c r="BV38" s="203">
        <f>+BU50</f>
        <v>868.15227516778521</v>
      </c>
      <c r="BW38" s="202">
        <f>+BV50</f>
        <v>844.05227516778518</v>
      </c>
      <c r="BX38" s="203">
        <f>+BW50</f>
        <v>806.25227516778511</v>
      </c>
    </row>
    <row r="39" spans="1:76" s="98" customFormat="1" x14ac:dyDescent="0.2">
      <c r="A39" s="98" t="s">
        <v>26</v>
      </c>
      <c r="B39" s="99"/>
      <c r="C39" s="205"/>
      <c r="D39" s="206">
        <v>0</v>
      </c>
      <c r="E39" s="205">
        <v>0</v>
      </c>
      <c r="F39" s="206">
        <v>0</v>
      </c>
      <c r="G39" s="207"/>
      <c r="H39" s="205">
        <v>0</v>
      </c>
      <c r="I39" s="206">
        <v>0</v>
      </c>
      <c r="J39" s="205">
        <v>0</v>
      </c>
      <c r="K39" s="206">
        <v>0</v>
      </c>
      <c r="L39" s="207"/>
      <c r="M39" s="205">
        <v>0</v>
      </c>
      <c r="N39" s="206">
        <v>0</v>
      </c>
      <c r="O39" s="205">
        <v>0</v>
      </c>
      <c r="P39" s="206">
        <v>0</v>
      </c>
      <c r="Q39" s="207"/>
      <c r="R39" s="205">
        <v>0</v>
      </c>
      <c r="S39" s="206">
        <v>0</v>
      </c>
      <c r="T39" s="205">
        <v>0</v>
      </c>
      <c r="U39" s="206">
        <v>0</v>
      </c>
      <c r="V39" s="207"/>
      <c r="W39" s="205">
        <v>0</v>
      </c>
      <c r="X39" s="206">
        <v>0</v>
      </c>
      <c r="Y39" s="205">
        <v>0</v>
      </c>
      <c r="Z39" s="206">
        <v>0</v>
      </c>
      <c r="AA39" s="205"/>
      <c r="AB39" s="205">
        <v>0</v>
      </c>
      <c r="AC39" s="206">
        <v>0</v>
      </c>
      <c r="AD39" s="205">
        <v>0</v>
      </c>
      <c r="AE39" s="206">
        <v>0</v>
      </c>
      <c r="AF39" s="205"/>
      <c r="AG39" s="205">
        <v>0</v>
      </c>
      <c r="AH39" s="206">
        <v>0</v>
      </c>
      <c r="AI39" s="205">
        <v>0</v>
      </c>
      <c r="AJ39" s="206">
        <v>0</v>
      </c>
      <c r="AK39" s="205"/>
      <c r="AL39" s="205">
        <v>0</v>
      </c>
      <c r="AM39" s="206">
        <v>0</v>
      </c>
      <c r="AN39" s="205">
        <v>0</v>
      </c>
      <c r="AO39" s="206">
        <v>0</v>
      </c>
      <c r="AP39" s="205"/>
      <c r="AQ39" s="230">
        <v>0</v>
      </c>
      <c r="AR39" s="206">
        <v>0</v>
      </c>
      <c r="AS39" s="205">
        <v>0</v>
      </c>
      <c r="AT39" s="206">
        <v>0</v>
      </c>
      <c r="AU39" s="205"/>
      <c r="AV39" s="230">
        <v>0</v>
      </c>
      <c r="AW39" s="206">
        <v>0</v>
      </c>
      <c r="AX39" s="205">
        <v>0</v>
      </c>
      <c r="AY39" s="206">
        <v>0</v>
      </c>
      <c r="AZ39" s="205"/>
      <c r="BA39" s="230">
        <v>0</v>
      </c>
      <c r="BB39" s="206">
        <v>0</v>
      </c>
      <c r="BC39" s="205">
        <v>0</v>
      </c>
      <c r="BD39" s="206">
        <v>0</v>
      </c>
      <c r="BE39" s="205"/>
      <c r="BF39" s="230">
        <v>0</v>
      </c>
      <c r="BG39" s="206">
        <v>0</v>
      </c>
      <c r="BH39" s="205">
        <v>0</v>
      </c>
      <c r="BI39" s="206">
        <v>0</v>
      </c>
      <c r="BJ39" s="205"/>
      <c r="BK39" s="230">
        <v>0</v>
      </c>
      <c r="BL39" s="206">
        <v>0</v>
      </c>
      <c r="BM39" s="205">
        <v>0</v>
      </c>
      <c r="BN39" s="206">
        <v>0</v>
      </c>
      <c r="BO39" s="205"/>
      <c r="BP39" s="230">
        <v>0</v>
      </c>
      <c r="BQ39" s="206">
        <v>0</v>
      </c>
      <c r="BR39" s="205">
        <v>0</v>
      </c>
      <c r="BS39" s="206">
        <v>0</v>
      </c>
      <c r="BT39" s="205"/>
      <c r="BU39" s="230">
        <v>0</v>
      </c>
      <c r="BV39" s="206">
        <v>0</v>
      </c>
      <c r="BW39" s="205">
        <v>0</v>
      </c>
      <c r="BX39" s="206"/>
    </row>
    <row r="40" spans="1:76" x14ac:dyDescent="0.2">
      <c r="A40" s="15" t="s">
        <v>107</v>
      </c>
      <c r="C40" s="202">
        <f>SUM(C38:C39)</f>
        <v>369.1275167785235</v>
      </c>
      <c r="D40" s="203">
        <f>SUM(D38:D39)</f>
        <v>375.83892617449663</v>
      </c>
      <c r="E40" s="202">
        <f>SUM(E38:E39)</f>
        <v>370.73825503355704</v>
      </c>
      <c r="F40" s="203">
        <f>SUM(F38:F39)</f>
        <v>353.82550335570471</v>
      </c>
      <c r="G40" s="204"/>
      <c r="H40" s="202">
        <f>SUM(H38:H39)</f>
        <v>367.11409395973152</v>
      </c>
      <c r="I40" s="203">
        <f>SUM(I38:I39)</f>
        <v>372.48322147651004</v>
      </c>
      <c r="J40" s="202">
        <f>SUM(J38:J39)</f>
        <v>348.5906040268456</v>
      </c>
      <c r="K40" s="203">
        <f>SUM(K38:K39)</f>
        <v>359.32885906040264</v>
      </c>
      <c r="L40" s="204"/>
      <c r="M40" s="202">
        <f>SUM(M38:M39)</f>
        <v>376.6442953020134</v>
      </c>
      <c r="N40" s="203">
        <f>SUM(N38:N39)</f>
        <v>390.20134228187914</v>
      </c>
      <c r="O40" s="202">
        <f>SUM(O38:O39)</f>
        <v>385.50335570469792</v>
      </c>
      <c r="P40" s="203">
        <f>SUM(P38:P39)</f>
        <v>401.2080536912751</v>
      </c>
      <c r="Q40" s="204"/>
      <c r="R40" s="202">
        <f>SUM(R38:R39)</f>
        <v>440.67114093959725</v>
      </c>
      <c r="S40" s="203">
        <f>SUM(S38:S39)</f>
        <v>453.15436241610735</v>
      </c>
      <c r="T40" s="202">
        <f>SUM(T38:T39)</f>
        <v>455.97315436241604</v>
      </c>
      <c r="U40" s="203">
        <f>SUM(U38:U39)</f>
        <v>489.12751677852344</v>
      </c>
      <c r="V40" s="204"/>
      <c r="W40" s="202">
        <f>SUM(W38:W39)</f>
        <v>465.06040268456371</v>
      </c>
      <c r="X40" s="203">
        <f>SUM(X38:X39)</f>
        <v>467.47651006711402</v>
      </c>
      <c r="Y40" s="202">
        <f>SUM(Y38:Y39)</f>
        <v>475.39597315436237</v>
      </c>
      <c r="Z40" s="203">
        <f>SUM(Z38:Z39)</f>
        <v>480.3624161073825</v>
      </c>
      <c r="AA40" s="202"/>
      <c r="AB40" s="202">
        <f>SUM(AB38:AB39)</f>
        <v>501.97315436241604</v>
      </c>
      <c r="AC40" s="203">
        <f>SUM(AC38:AC39)</f>
        <v>514.32214765100662</v>
      </c>
      <c r="AD40" s="202">
        <f>SUM(AD38:AD39)</f>
        <v>543.98657718120796</v>
      </c>
      <c r="AE40" s="203">
        <f>SUM(AE38:AE39)</f>
        <v>536.73825503355692</v>
      </c>
      <c r="AF40" s="202"/>
      <c r="AG40" s="202">
        <f>SUM(AG38:AG39)</f>
        <v>551.9060402684562</v>
      </c>
      <c r="AH40" s="203">
        <f>SUM(AH38:AH39)</f>
        <v>536.0671140939595</v>
      </c>
      <c r="AI40" s="202">
        <f>SUM(AI38:AI39)</f>
        <v>535.3959731543622</v>
      </c>
      <c r="AJ40" s="203">
        <f>SUM(AJ38:AJ39)</f>
        <v>537.67785234899316</v>
      </c>
      <c r="AK40" s="202"/>
      <c r="AL40" s="202">
        <f>SUM(AL38:AL39)</f>
        <v>545.73154362416096</v>
      </c>
      <c r="AM40" s="203">
        <f>SUM(AM38:AM39)</f>
        <v>553.24832214765081</v>
      </c>
      <c r="AN40" s="202">
        <f>SUM(AN38:AN39)</f>
        <v>745.99999999999977</v>
      </c>
      <c r="AO40" s="203">
        <f>SUM(AO38:AO39)</f>
        <v>759.28859060402669</v>
      </c>
      <c r="AP40" s="202"/>
      <c r="AQ40" s="229">
        <f>SUM(AQ38:AQ39)</f>
        <v>770.02684563758373</v>
      </c>
      <c r="AR40" s="203">
        <f>SUM(AR38:AR39)</f>
        <v>748.81879194630847</v>
      </c>
      <c r="AS40" s="229">
        <f>SUM(AS38:AS39)</f>
        <v>752.97986577181177</v>
      </c>
      <c r="AT40" s="203">
        <f>SUM(AT38:AT39)</f>
        <v>754.05369127516747</v>
      </c>
      <c r="AU40" s="202"/>
      <c r="AV40" s="229">
        <f>SUM(AV38:AV39)</f>
        <v>761.57046979865731</v>
      </c>
      <c r="AW40" s="203">
        <f>SUM(AW38:AW39)</f>
        <v>752.44295302013381</v>
      </c>
      <c r="AX40" s="229">
        <f>SUM(AX38:AX39)</f>
        <v>763.85234899328816</v>
      </c>
      <c r="AY40" s="203">
        <f>SUM(AY38:AY39)</f>
        <v>794.45637583892574</v>
      </c>
      <c r="AZ40" s="202"/>
      <c r="BA40" s="229">
        <f>SUM(BA38:BA39)</f>
        <v>801.9731543624157</v>
      </c>
      <c r="BB40" s="203">
        <f>+BB39+BB38</f>
        <v>847.87919463087201</v>
      </c>
      <c r="BC40" s="229">
        <f>SUM(BC38:BC39)</f>
        <v>803.44966442952966</v>
      </c>
      <c r="BD40" s="203">
        <f>SUM(BD38:BD39)</f>
        <v>799.69127516778474</v>
      </c>
      <c r="BE40" s="202"/>
      <c r="BF40" s="229">
        <f>SUM(BF38:BF39)</f>
        <v>809.45127516778484</v>
      </c>
      <c r="BG40" s="203">
        <f>SUM(BG38:BG39)</f>
        <v>802.95227516778493</v>
      </c>
      <c r="BH40" s="229">
        <f>SUM(BH38:BH39)</f>
        <v>801.65227516778498</v>
      </c>
      <c r="BI40" s="203">
        <f>SUM(BI38:BI39)</f>
        <v>760.15227516778498</v>
      </c>
      <c r="BJ40" s="202"/>
      <c r="BK40" s="229">
        <f>SUM(BK38:BK39)</f>
        <v>951.35227516778491</v>
      </c>
      <c r="BL40" s="203">
        <f>SUM(BL38:BL39)</f>
        <v>971.45227516778493</v>
      </c>
      <c r="BM40" s="229">
        <f>SUM(BM38:BM39)</f>
        <v>982.15227516778498</v>
      </c>
      <c r="BN40" s="203">
        <f>SUM(BN38:BN39)</f>
        <v>993.252275167785</v>
      </c>
      <c r="BO40" s="202"/>
      <c r="BP40" s="229">
        <f>SUM(BP38:BP39)</f>
        <v>816.25227516778523</v>
      </c>
      <c r="BQ40" s="203">
        <f>SUM(BQ38:BQ39)</f>
        <v>774.85227516778525</v>
      </c>
      <c r="BR40" s="229">
        <f>SUM(BR38:BR39)</f>
        <v>767.15227516778532</v>
      </c>
      <c r="BS40" s="203">
        <f>SUM(BS38:BS39)</f>
        <v>924.45227516778527</v>
      </c>
      <c r="BT40" s="202"/>
      <c r="BU40" s="229">
        <f>SUM(BU38:BU39)</f>
        <v>895.55227516778518</v>
      </c>
      <c r="BV40" s="203">
        <f>SUM(BV38:BV39)</f>
        <v>868.15227516778521</v>
      </c>
      <c r="BW40" s="229">
        <f>SUM(BW38:BW39)</f>
        <v>844.05227516778518</v>
      </c>
      <c r="BX40" s="203">
        <f>SUM(BX38:BX39)</f>
        <v>806.25227516778511</v>
      </c>
    </row>
    <row r="41" spans="1:76" x14ac:dyDescent="0.2">
      <c r="A41" s="15" t="s">
        <v>68</v>
      </c>
      <c r="C41" s="202">
        <v>7.1140939597315436</v>
      </c>
      <c r="D41" s="203">
        <v>14.093959731543624</v>
      </c>
      <c r="E41" s="202">
        <v>15.70469798657718</v>
      </c>
      <c r="F41" s="203">
        <v>11.543624161073826</v>
      </c>
      <c r="G41" s="204"/>
      <c r="H41" s="202">
        <v>11.409395973154362</v>
      </c>
      <c r="I41" s="203">
        <v>30.604026845637584</v>
      </c>
      <c r="J41" s="202">
        <v>19.597315436241612</v>
      </c>
      <c r="K41" s="203">
        <v>19.328859060402685</v>
      </c>
      <c r="L41" s="204"/>
      <c r="M41" s="202">
        <v>16.107382550335569</v>
      </c>
      <c r="N41" s="203">
        <v>30.067114093959731</v>
      </c>
      <c r="O41" s="202">
        <v>22.416107382550337</v>
      </c>
      <c r="P41" s="203">
        <v>41.476510067114091</v>
      </c>
      <c r="Q41" s="204"/>
      <c r="R41" s="202">
        <v>18.523489932885905</v>
      </c>
      <c r="S41" s="203">
        <v>31.140939597315434</v>
      </c>
      <c r="T41" s="202">
        <v>18.65771812080537</v>
      </c>
      <c r="U41" s="203">
        <v>-14.093959731543624</v>
      </c>
      <c r="V41" s="204"/>
      <c r="W41" s="202">
        <v>0</v>
      </c>
      <c r="X41" s="203">
        <v>12.617449664429531</v>
      </c>
      <c r="Y41" s="202">
        <v>9.5302013422818792</v>
      </c>
      <c r="Z41" s="203">
        <v>9.7986577181208059</v>
      </c>
      <c r="AA41" s="202"/>
      <c r="AB41" s="202">
        <v>8.724832214765101</v>
      </c>
      <c r="AC41" s="203">
        <v>13.020134228187919</v>
      </c>
      <c r="AD41" s="202">
        <v>10.738255033557047</v>
      </c>
      <c r="AE41" s="203">
        <v>3.7583892617449663</v>
      </c>
      <c r="AF41" s="202"/>
      <c r="AG41" s="202">
        <f>(+' Financial Highlights'!AM20)</f>
        <v>6.8456375838926187</v>
      </c>
      <c r="AH41" s="203">
        <f>(+' Financial Highlights'!AN20)</f>
        <v>4.0268456375838939</v>
      </c>
      <c r="AI41" s="202">
        <f>(+' Financial Highlights'!AO20)</f>
        <v>5.7718120805369111</v>
      </c>
      <c r="AJ41" s="203">
        <f>(+' Financial Highlights'!AP20)</f>
        <v>0.40268456375839023</v>
      </c>
      <c r="AK41" s="202"/>
      <c r="AL41" s="202">
        <v>4.1610738255033555</v>
      </c>
      <c r="AM41" s="203">
        <f>+' Financial Highlights'!AT20</f>
        <v>193.15436241610735</v>
      </c>
      <c r="AN41" s="202">
        <f>+' Financial Highlights'!AU20</f>
        <v>4.9664429530201355</v>
      </c>
      <c r="AO41" s="203">
        <f>+' Financial Highlights'!AV20</f>
        <v>13.288590604026844</v>
      </c>
      <c r="AP41" s="202"/>
      <c r="AQ41" s="229">
        <v>3.3557046979865772</v>
      </c>
      <c r="AR41" s="203">
        <v>10.201342281879194</v>
      </c>
      <c r="AS41" s="202">
        <v>7.1140939597315436</v>
      </c>
      <c r="AT41" s="203">
        <v>13.288590604026846</v>
      </c>
      <c r="AU41" s="202"/>
      <c r="AV41" s="229">
        <f>+' Financial Highlights'!BE20</f>
        <v>11.677852348993287</v>
      </c>
      <c r="AW41" s="203">
        <f>+' Financial Highlights'!BF20</f>
        <v>6.308724832214768</v>
      </c>
      <c r="AX41" s="229">
        <f>+' Financial Highlights'!BG20</f>
        <v>8.0536912751677843</v>
      </c>
      <c r="AY41" s="203">
        <f>+' Financial Highlights'!BH20</f>
        <v>11.543624161073826</v>
      </c>
      <c r="AZ41" s="202"/>
      <c r="BA41" s="229">
        <f>+' Financial Highlights'!BK20</f>
        <v>12.214765100671148</v>
      </c>
      <c r="BB41" s="203">
        <f>+' Financial Highlights'!BL20</f>
        <v>-27.651006711409394</v>
      </c>
      <c r="BC41" s="229">
        <f>+' Financial Highlights'!BM20</f>
        <v>9.664429530201339</v>
      </c>
      <c r="BD41" s="203">
        <f>+' Financial Highlights'!BN20</f>
        <v>6.9599999999999955</v>
      </c>
      <c r="BE41" s="202"/>
      <c r="BF41" s="229">
        <f>+' Financial Highlights'!BQ20</f>
        <v>10.600999999999997</v>
      </c>
      <c r="BG41" s="203">
        <f>+' Financial Highlights'!BR20</f>
        <v>20.2</v>
      </c>
      <c r="BH41" s="229">
        <f>+' Financial Highlights'!BS20</f>
        <v>-24.799999999999997</v>
      </c>
      <c r="BI41" s="203">
        <f>+' Financial Highlights'!BT20</f>
        <v>6.0999999999999961</v>
      </c>
      <c r="BJ41" s="229"/>
      <c r="BK41" s="229">
        <f>+' Financial Highlights'!BW20</f>
        <v>12.600000000000001</v>
      </c>
      <c r="BL41" s="203">
        <f>+' Financial Highlights'!BX20</f>
        <v>32.5</v>
      </c>
      <c r="BM41" s="229">
        <f>+' Financial Highlights'!BY20</f>
        <v>17.600000000000005</v>
      </c>
      <c r="BN41" s="203">
        <f>+' Financial Highlights'!BZ20</f>
        <v>866.1</v>
      </c>
      <c r="BO41" s="202"/>
      <c r="BP41" s="229">
        <f>+' Financial Highlights'!CC20</f>
        <v>-4.9999999999999973</v>
      </c>
      <c r="BQ41" s="203">
        <v>1.7</v>
      </c>
      <c r="BR41" s="229">
        <v>-2.8</v>
      </c>
      <c r="BS41" s="203">
        <v>-40.200000000000003</v>
      </c>
      <c r="BT41" s="202"/>
      <c r="BU41" s="229">
        <f>+' Financial Highlights'!CI20</f>
        <v>-19.000000000000004</v>
      </c>
      <c r="BV41" s="203">
        <f>+' Financial Highlights'!CJ20</f>
        <v>-15.099999999999998</v>
      </c>
      <c r="BW41" s="229">
        <f>+' Financial Highlights'!CK20</f>
        <v>-19.2</v>
      </c>
      <c r="BX41" s="203">
        <f>+' Financial Highlights'!CL20</f>
        <v>-22.699999999999996</v>
      </c>
    </row>
    <row r="42" spans="1:76" x14ac:dyDescent="0.2">
      <c r="A42" s="15" t="s">
        <v>85</v>
      </c>
      <c r="C42" s="202">
        <v>0</v>
      </c>
      <c r="D42" s="203">
        <v>0</v>
      </c>
      <c r="E42" s="202">
        <v>0</v>
      </c>
      <c r="F42" s="203">
        <v>0</v>
      </c>
      <c r="G42" s="204"/>
      <c r="H42" s="202"/>
      <c r="I42" s="203"/>
      <c r="J42" s="202"/>
      <c r="K42" s="203"/>
      <c r="L42" s="204"/>
      <c r="M42" s="202"/>
      <c r="N42" s="203"/>
      <c r="O42" s="202"/>
      <c r="P42" s="203"/>
      <c r="Q42" s="204"/>
      <c r="R42" s="202"/>
      <c r="S42" s="203"/>
      <c r="T42" s="202"/>
      <c r="U42" s="203"/>
      <c r="V42" s="204"/>
      <c r="W42" s="202"/>
      <c r="X42" s="203"/>
      <c r="Y42" s="202"/>
      <c r="Z42" s="203"/>
      <c r="AA42" s="202"/>
      <c r="AB42" s="202"/>
      <c r="AC42" s="203"/>
      <c r="AD42" s="202"/>
      <c r="AE42" s="203"/>
      <c r="AF42" s="202"/>
      <c r="AG42" s="202"/>
      <c r="AH42" s="203"/>
      <c r="AI42" s="202"/>
      <c r="AJ42" s="203"/>
      <c r="AK42" s="202"/>
      <c r="AL42" s="202"/>
      <c r="AM42" s="203"/>
      <c r="AN42" s="202"/>
      <c r="AO42" s="203"/>
      <c r="AP42" s="202"/>
      <c r="AQ42" s="229">
        <v>-3.7583892617449663</v>
      </c>
      <c r="AR42" s="203">
        <v>0</v>
      </c>
      <c r="AS42" s="202">
        <v>0</v>
      </c>
      <c r="AT42" s="203">
        <v>-0.26845637583892618</v>
      </c>
      <c r="AU42" s="202"/>
      <c r="AV42" s="229">
        <v>0</v>
      </c>
      <c r="AW42" s="203">
        <v>0</v>
      </c>
      <c r="AX42" s="202">
        <v>0</v>
      </c>
      <c r="AY42" s="203">
        <v>-9.1275167785234892</v>
      </c>
      <c r="AZ42" s="202"/>
      <c r="BA42" s="229">
        <v>0</v>
      </c>
      <c r="BB42" s="203">
        <v>0</v>
      </c>
      <c r="BC42" s="202">
        <v>0</v>
      </c>
      <c r="BD42" s="203">
        <v>1.7</v>
      </c>
      <c r="BE42" s="202"/>
      <c r="BF42" s="229">
        <v>0</v>
      </c>
      <c r="BG42" s="203">
        <v>0</v>
      </c>
      <c r="BH42" s="202">
        <v>0</v>
      </c>
      <c r="BI42" s="203">
        <v>-4.5999999999999996</v>
      </c>
      <c r="BJ42" s="229"/>
      <c r="BK42" s="229">
        <v>0</v>
      </c>
      <c r="BL42" s="203">
        <v>0</v>
      </c>
      <c r="BM42" s="231">
        <v>0</v>
      </c>
      <c r="BN42" s="203">
        <v>0.2</v>
      </c>
      <c r="BO42" s="202"/>
      <c r="BP42" s="229">
        <v>0</v>
      </c>
      <c r="BQ42" s="203">
        <v>0</v>
      </c>
      <c r="BR42" s="231"/>
      <c r="BS42" s="203">
        <v>1.8</v>
      </c>
      <c r="BT42" s="202"/>
      <c r="BU42" s="229">
        <v>0</v>
      </c>
      <c r="BV42" s="203">
        <v>0</v>
      </c>
      <c r="BW42" s="231">
        <v>0</v>
      </c>
      <c r="BX42" s="203">
        <f>-6.5+2</f>
        <v>-4.5</v>
      </c>
    </row>
    <row r="43" spans="1:76" x14ac:dyDescent="0.2">
      <c r="A43" s="15" t="s">
        <v>69</v>
      </c>
      <c r="C43" s="202">
        <v>1.2080536912751678</v>
      </c>
      <c r="D43" s="203">
        <v>7.1140939597315436</v>
      </c>
      <c r="E43" s="202">
        <v>4.4295302013422821</v>
      </c>
      <c r="F43" s="203">
        <v>1.7449664429530201</v>
      </c>
      <c r="G43" s="204"/>
      <c r="H43" s="202">
        <v>2.5503355704697985</v>
      </c>
      <c r="I43" s="203">
        <v>-16.778523489932887</v>
      </c>
      <c r="J43" s="202">
        <v>-8.8590604026845643</v>
      </c>
      <c r="K43" s="203">
        <v>-2.0134228187919461</v>
      </c>
      <c r="L43" s="204"/>
      <c r="M43" s="202">
        <v>-3.4899328859060401</v>
      </c>
      <c r="N43" s="203">
        <v>-4.4295302013422821</v>
      </c>
      <c r="O43" s="202">
        <v>-6.7114093959731544</v>
      </c>
      <c r="P43" s="203">
        <v>-2.0134228187919461</v>
      </c>
      <c r="Q43" s="204"/>
      <c r="R43" s="202">
        <v>-6.5771812080536911</v>
      </c>
      <c r="S43" s="203">
        <v>4.9664429530201337</v>
      </c>
      <c r="T43" s="202">
        <v>14.36241610738255</v>
      </c>
      <c r="U43" s="203">
        <v>-10.10738255033557</v>
      </c>
      <c r="V43" s="204"/>
      <c r="W43" s="229">
        <v>2.2818791946308723</v>
      </c>
      <c r="X43" s="203">
        <v>-4.9664429530201337</v>
      </c>
      <c r="Y43" s="231">
        <v>-4.6979865771812079</v>
      </c>
      <c r="Z43" s="203">
        <v>11.677852348993289</v>
      </c>
      <c r="AA43" s="202"/>
      <c r="AB43" s="229">
        <f>(-3+111)/7.45</f>
        <v>14.496644295302014</v>
      </c>
      <c r="AC43" s="203">
        <v>15.973154362416107</v>
      </c>
      <c r="AD43" s="231">
        <v>-18.120805369127517</v>
      </c>
      <c r="AE43" s="203">
        <v>11.275167785234899</v>
      </c>
      <c r="AF43" s="202"/>
      <c r="AG43" s="229">
        <v>-16.51006711409396</v>
      </c>
      <c r="AH43" s="203">
        <v>-4.9664429530201337</v>
      </c>
      <c r="AI43" s="231">
        <v>-3.6241610738255035</v>
      </c>
      <c r="AJ43" s="203">
        <v>7.651006711409396</v>
      </c>
      <c r="AK43" s="202"/>
      <c r="AL43" s="229">
        <v>6.7114093959731544</v>
      </c>
      <c r="AM43" s="203">
        <v>-0.53691275167785235</v>
      </c>
      <c r="AN43" s="231">
        <v>8.0536912751677843</v>
      </c>
      <c r="AO43" s="203">
        <v>-2.6845637583892619</v>
      </c>
      <c r="AP43" s="202"/>
      <c r="AQ43" s="229">
        <v>3.7583892617449663</v>
      </c>
      <c r="AR43" s="203">
        <v>-6.174496644295302</v>
      </c>
      <c r="AS43" s="231">
        <v>-6.174496644295302</v>
      </c>
      <c r="AT43" s="203">
        <v>-6.0402684563758386</v>
      </c>
      <c r="AU43" s="202"/>
      <c r="AV43" s="229">
        <v>-9.6644295302013425</v>
      </c>
      <c r="AW43" s="203">
        <v>4.9664429530201337</v>
      </c>
      <c r="AX43" s="231">
        <v>22.550335570469798</v>
      </c>
      <c r="AY43" s="203">
        <v>5.1006711409395971</v>
      </c>
      <c r="AZ43" s="202"/>
      <c r="BA43" s="229">
        <v>35.302013422818789</v>
      </c>
      <c r="BB43" s="203">
        <f>(137-263)/7.45</f>
        <v>-16.912751677852349</v>
      </c>
      <c r="BC43" s="231">
        <v>-13.557046979865772</v>
      </c>
      <c r="BD43" s="203">
        <v>1.1000000000000001</v>
      </c>
      <c r="BE43" s="202"/>
      <c r="BF43" s="229">
        <v>-5.8</v>
      </c>
      <c r="BG43" s="203">
        <v>1.6</v>
      </c>
      <c r="BH43" s="231">
        <v>-0.2</v>
      </c>
      <c r="BI43" s="203">
        <v>1.3</v>
      </c>
      <c r="BJ43" s="229"/>
      <c r="BK43" s="229">
        <v>-0.3</v>
      </c>
      <c r="BL43" s="203">
        <v>-23.3</v>
      </c>
      <c r="BM43" s="231">
        <v>-7.2</v>
      </c>
      <c r="BN43" s="203">
        <f>-20.1-13.5-1.4-BM43-BL43-BK43</f>
        <v>-4.2</v>
      </c>
      <c r="BO43" s="202"/>
      <c r="BP43" s="229">
        <v>-36.4</v>
      </c>
      <c r="BQ43" s="203">
        <v>-9.4</v>
      </c>
      <c r="BR43" s="231">
        <v>11.8</v>
      </c>
      <c r="BS43" s="203">
        <v>9.5</v>
      </c>
      <c r="BT43" s="202"/>
      <c r="BU43" s="229">
        <v>-8.4</v>
      </c>
      <c r="BV43" s="203">
        <v>-9</v>
      </c>
      <c r="BW43" s="231">
        <v>-10.5</v>
      </c>
      <c r="BX43" s="203">
        <v>24.7</v>
      </c>
    </row>
    <row r="44" spans="1:76" x14ac:dyDescent="0.2">
      <c r="A44" s="15" t="s">
        <v>146</v>
      </c>
      <c r="C44" s="202">
        <v>-1.6107382550335569</v>
      </c>
      <c r="D44" s="203">
        <v>0</v>
      </c>
      <c r="E44" s="202">
        <v>-37.04697986577181</v>
      </c>
      <c r="F44" s="203">
        <v>0</v>
      </c>
      <c r="G44" s="204"/>
      <c r="H44" s="202">
        <v>-8.5906040268456376</v>
      </c>
      <c r="I44" s="203">
        <v>1.7449664429530201</v>
      </c>
      <c r="J44" s="202">
        <v>0</v>
      </c>
      <c r="K44" s="203">
        <v>0</v>
      </c>
      <c r="L44" s="204"/>
      <c r="M44" s="202">
        <v>0.93959731543624159</v>
      </c>
      <c r="N44" s="203">
        <v>1.3422818791946309</v>
      </c>
      <c r="O44" s="202">
        <v>0</v>
      </c>
      <c r="P44" s="203">
        <v>0</v>
      </c>
      <c r="Q44" s="204"/>
      <c r="R44" s="202">
        <v>0.53691275167785235</v>
      </c>
      <c r="S44" s="203">
        <v>1.6107382550335569</v>
      </c>
      <c r="T44" s="202">
        <v>0.13422818791946309</v>
      </c>
      <c r="U44" s="203">
        <v>0.13422818791946309</v>
      </c>
      <c r="V44" s="204"/>
      <c r="W44" s="229">
        <v>0.13422818791946309</v>
      </c>
      <c r="X44" s="203">
        <v>0.26845637583892618</v>
      </c>
      <c r="Y44" s="229">
        <v>0.13422818791946309</v>
      </c>
      <c r="Z44" s="203">
        <v>0.13422818791946309</v>
      </c>
      <c r="AA44" s="202"/>
      <c r="AB44" s="229">
        <v>0.26845637583892618</v>
      </c>
      <c r="AC44" s="203">
        <v>0.67114093959731547</v>
      </c>
      <c r="AD44" s="229">
        <v>0.13422818791946309</v>
      </c>
      <c r="AE44" s="203">
        <v>0.13422818791946309</v>
      </c>
      <c r="AF44" s="202"/>
      <c r="AG44" s="229">
        <v>0.13422818791946309</v>
      </c>
      <c r="AH44" s="203">
        <v>0.26845637583892618</v>
      </c>
      <c r="AI44" s="229">
        <v>0.13422818791946309</v>
      </c>
      <c r="AJ44" s="203">
        <v>0</v>
      </c>
      <c r="AK44" s="202"/>
      <c r="AL44" s="229">
        <f>(1+22)/7.45</f>
        <v>3.087248322147651</v>
      </c>
      <c r="AM44" s="203">
        <v>0.13422818791946309</v>
      </c>
      <c r="AN44" s="229">
        <v>0.26845637583892618</v>
      </c>
      <c r="AO44" s="203">
        <v>0.13422818791946309</v>
      </c>
      <c r="AP44" s="202"/>
      <c r="AQ44" s="229">
        <v>1.0738255033557047</v>
      </c>
      <c r="AR44" s="203">
        <v>0.13422818791946309</v>
      </c>
      <c r="AS44" s="229">
        <v>0.13422818791946309</v>
      </c>
      <c r="AT44" s="203">
        <v>0.53691275167785235</v>
      </c>
      <c r="AU44" s="202"/>
      <c r="AV44" s="229">
        <v>0.13422818791946309</v>
      </c>
      <c r="AW44" s="203">
        <v>0.13422818791946309</v>
      </c>
      <c r="AX44" s="229">
        <v>0</v>
      </c>
      <c r="AY44" s="203">
        <v>0</v>
      </c>
      <c r="AZ44" s="202"/>
      <c r="BA44" s="229">
        <v>11.409395973154362</v>
      </c>
      <c r="BB44" s="203">
        <v>0.13422818791946309</v>
      </c>
      <c r="BC44" s="229">
        <v>0.13422818791946309</v>
      </c>
      <c r="BD44" s="203">
        <v>0</v>
      </c>
      <c r="BE44" s="202"/>
      <c r="BF44" s="229">
        <f>6.3+0.1-4.7</f>
        <v>1.6999999999999993</v>
      </c>
      <c r="BG44" s="203">
        <f>0.1-0.9+6.3-24.9-1.7-2</f>
        <v>-23.099999999999998</v>
      </c>
      <c r="BH44" s="229">
        <v>-16.5</v>
      </c>
      <c r="BI44" s="203">
        <v>3.6</v>
      </c>
      <c r="BJ44" s="229"/>
      <c r="BK44" s="229">
        <v>7.8</v>
      </c>
      <c r="BL44" s="203">
        <f>1.7-0.2</f>
        <v>1.5</v>
      </c>
      <c r="BM44" s="231">
        <v>0.7</v>
      </c>
      <c r="BN44" s="203">
        <v>0.2</v>
      </c>
      <c r="BO44" s="202"/>
      <c r="BP44" s="229"/>
      <c r="BQ44" s="203"/>
      <c r="BR44" s="231"/>
      <c r="BS44" s="203"/>
      <c r="BT44" s="202"/>
      <c r="BU44" s="229"/>
      <c r="BV44" s="203"/>
      <c r="BW44" s="231"/>
      <c r="BX44" s="203"/>
    </row>
    <row r="45" spans="1:76" x14ac:dyDescent="0.2">
      <c r="A45" s="15" t="s">
        <v>187</v>
      </c>
      <c r="C45" s="202"/>
      <c r="D45" s="203"/>
      <c r="E45" s="202"/>
      <c r="F45" s="203"/>
      <c r="G45" s="204"/>
      <c r="H45" s="202"/>
      <c r="I45" s="203"/>
      <c r="J45" s="202"/>
      <c r="K45" s="203"/>
      <c r="L45" s="204"/>
      <c r="M45" s="202"/>
      <c r="N45" s="203"/>
      <c r="O45" s="202"/>
      <c r="P45" s="203"/>
      <c r="Q45" s="204"/>
      <c r="R45" s="202"/>
      <c r="S45" s="203"/>
      <c r="T45" s="202"/>
      <c r="U45" s="203"/>
      <c r="V45" s="204"/>
      <c r="W45" s="229"/>
      <c r="X45" s="203"/>
      <c r="Y45" s="229"/>
      <c r="Z45" s="203"/>
      <c r="AA45" s="202"/>
      <c r="AB45" s="229"/>
      <c r="AC45" s="203"/>
      <c r="AD45" s="229"/>
      <c r="AE45" s="203"/>
      <c r="AF45" s="202"/>
      <c r="AG45" s="229"/>
      <c r="AH45" s="203"/>
      <c r="AI45" s="229"/>
      <c r="AJ45" s="203"/>
      <c r="AK45" s="202"/>
      <c r="AL45" s="229"/>
      <c r="AM45" s="203"/>
      <c r="AN45" s="229"/>
      <c r="AO45" s="203"/>
      <c r="AP45" s="202"/>
      <c r="AQ45" s="229"/>
      <c r="AR45" s="203"/>
      <c r="AS45" s="229"/>
      <c r="AT45" s="203"/>
      <c r="AU45" s="202"/>
      <c r="AV45" s="229"/>
      <c r="AW45" s="203"/>
      <c r="AX45" s="229"/>
      <c r="AY45" s="203"/>
      <c r="AZ45" s="202"/>
      <c r="BA45" s="229"/>
      <c r="BB45" s="203"/>
      <c r="BC45" s="229"/>
      <c r="BD45" s="203"/>
      <c r="BE45" s="202"/>
      <c r="BF45" s="229"/>
      <c r="BG45" s="203"/>
      <c r="BH45" s="229"/>
      <c r="BI45" s="203"/>
      <c r="BJ45" s="229"/>
      <c r="BK45" s="229"/>
      <c r="BL45" s="203"/>
      <c r="BM45" s="231"/>
      <c r="BN45" s="203"/>
      <c r="BO45" s="202"/>
      <c r="BP45" s="229"/>
      <c r="BQ45" s="203"/>
      <c r="BR45" s="231">
        <f>150-1.7</f>
        <v>148.30000000000001</v>
      </c>
      <c r="BS45" s="203"/>
      <c r="BT45" s="202"/>
      <c r="BU45" s="229"/>
      <c r="BV45" s="203"/>
      <c r="BW45" s="231"/>
      <c r="BX45" s="203"/>
    </row>
    <row r="46" spans="1:76" x14ac:dyDescent="0.2">
      <c r="A46" s="15" t="s">
        <v>194</v>
      </c>
      <c r="C46" s="202"/>
      <c r="D46" s="203"/>
      <c r="E46" s="202"/>
      <c r="F46" s="203"/>
      <c r="G46" s="204"/>
      <c r="H46" s="202"/>
      <c r="I46" s="203"/>
      <c r="J46" s="202"/>
      <c r="K46" s="203"/>
      <c r="L46" s="204"/>
      <c r="M46" s="202"/>
      <c r="N46" s="203"/>
      <c r="O46" s="202"/>
      <c r="P46" s="203"/>
      <c r="Q46" s="204"/>
      <c r="R46" s="202"/>
      <c r="S46" s="203"/>
      <c r="T46" s="202"/>
      <c r="U46" s="203"/>
      <c r="V46" s="204"/>
      <c r="W46" s="229"/>
      <c r="X46" s="203"/>
      <c r="Y46" s="229"/>
      <c r="Z46" s="203"/>
      <c r="AA46" s="202"/>
      <c r="AB46" s="229"/>
      <c r="AC46" s="203"/>
      <c r="AD46" s="229"/>
      <c r="AE46" s="203"/>
      <c r="AF46" s="202"/>
      <c r="AG46" s="229"/>
      <c r="AH46" s="203"/>
      <c r="AI46" s="229"/>
      <c r="AJ46" s="203"/>
      <c r="AK46" s="202"/>
      <c r="AL46" s="229"/>
      <c r="AM46" s="203"/>
      <c r="AN46" s="229"/>
      <c r="AO46" s="203"/>
      <c r="AP46" s="202"/>
      <c r="AQ46" s="229"/>
      <c r="AR46" s="203"/>
      <c r="AS46" s="229"/>
      <c r="AT46" s="203"/>
      <c r="AU46" s="202"/>
      <c r="AV46" s="229"/>
      <c r="AW46" s="203"/>
      <c r="AX46" s="229"/>
      <c r="AY46" s="203"/>
      <c r="AZ46" s="202"/>
      <c r="BA46" s="229"/>
      <c r="BB46" s="203"/>
      <c r="BC46" s="229"/>
      <c r="BD46" s="203"/>
      <c r="BE46" s="202"/>
      <c r="BF46" s="229"/>
      <c r="BG46" s="203"/>
      <c r="BH46" s="229"/>
      <c r="BI46" s="203"/>
      <c r="BJ46" s="229"/>
      <c r="BK46" s="229"/>
      <c r="BL46" s="203"/>
      <c r="BM46" s="231"/>
      <c r="BN46" s="203"/>
      <c r="BO46" s="202"/>
      <c r="BP46" s="229"/>
      <c r="BQ46" s="203"/>
      <c r="BR46" s="231"/>
      <c r="BS46" s="203"/>
      <c r="BT46" s="202"/>
      <c r="BU46" s="229"/>
      <c r="BV46" s="203"/>
      <c r="BW46" s="231">
        <v>-8.1</v>
      </c>
      <c r="BX46" s="203"/>
    </row>
    <row r="47" spans="1:76" x14ac:dyDescent="0.2">
      <c r="A47" s="15" t="s">
        <v>150</v>
      </c>
      <c r="C47" s="202"/>
      <c r="D47" s="203"/>
      <c r="E47" s="202"/>
      <c r="F47" s="203"/>
      <c r="G47" s="204"/>
      <c r="H47" s="202"/>
      <c r="I47" s="203"/>
      <c r="J47" s="202"/>
      <c r="K47" s="203"/>
      <c r="L47" s="204"/>
      <c r="M47" s="202"/>
      <c r="N47" s="203"/>
      <c r="O47" s="202"/>
      <c r="P47" s="203"/>
      <c r="Q47" s="204"/>
      <c r="R47" s="202"/>
      <c r="S47" s="203"/>
      <c r="T47" s="202"/>
      <c r="U47" s="203"/>
      <c r="V47" s="204"/>
      <c r="W47" s="229"/>
      <c r="X47" s="203"/>
      <c r="Y47" s="229"/>
      <c r="Z47" s="203"/>
      <c r="AA47" s="202"/>
      <c r="AB47" s="229"/>
      <c r="AC47" s="203"/>
      <c r="AD47" s="229"/>
      <c r="AE47" s="203"/>
      <c r="AF47" s="202"/>
      <c r="AG47" s="229"/>
      <c r="AH47" s="203"/>
      <c r="AI47" s="229"/>
      <c r="AJ47" s="203"/>
      <c r="AK47" s="202"/>
      <c r="AL47" s="229"/>
      <c r="AM47" s="203"/>
      <c r="AN47" s="229"/>
      <c r="AO47" s="203"/>
      <c r="AP47" s="202"/>
      <c r="AQ47" s="229"/>
      <c r="AR47" s="203"/>
      <c r="AS47" s="229"/>
      <c r="AT47" s="203"/>
      <c r="AU47" s="202"/>
      <c r="AV47" s="229"/>
      <c r="AW47" s="203"/>
      <c r="AX47" s="229"/>
      <c r="AY47" s="203"/>
      <c r="AZ47" s="202"/>
      <c r="BA47" s="229"/>
      <c r="BB47" s="203"/>
      <c r="BC47" s="229"/>
      <c r="BD47" s="203"/>
      <c r="BE47" s="202"/>
      <c r="BF47" s="229"/>
      <c r="BG47" s="203"/>
      <c r="BH47" s="229"/>
      <c r="BI47" s="203">
        <v>184.8</v>
      </c>
      <c r="BJ47" s="229"/>
      <c r="BK47" s="229"/>
      <c r="BL47" s="203"/>
      <c r="BM47" s="231"/>
      <c r="BN47" s="203"/>
      <c r="BO47" s="202"/>
      <c r="BP47" s="229"/>
      <c r="BQ47" s="203"/>
      <c r="BR47" s="231"/>
      <c r="BS47" s="203"/>
      <c r="BT47" s="202"/>
      <c r="BU47" s="229"/>
      <c r="BV47" s="203"/>
      <c r="BW47" s="231"/>
      <c r="BX47" s="203"/>
    </row>
    <row r="48" spans="1:76" x14ac:dyDescent="0.2">
      <c r="A48" s="15" t="s">
        <v>183</v>
      </c>
      <c r="C48" s="202"/>
      <c r="D48" s="203"/>
      <c r="E48" s="202"/>
      <c r="F48" s="203"/>
      <c r="G48" s="204"/>
      <c r="H48" s="202"/>
      <c r="I48" s="203"/>
      <c r="J48" s="202"/>
      <c r="K48" s="203"/>
      <c r="L48" s="204"/>
      <c r="M48" s="202"/>
      <c r="N48" s="203"/>
      <c r="O48" s="202"/>
      <c r="P48" s="203"/>
      <c r="Q48" s="204"/>
      <c r="R48" s="202"/>
      <c r="S48" s="203"/>
      <c r="T48" s="202"/>
      <c r="U48" s="203"/>
      <c r="V48" s="204"/>
      <c r="W48" s="229"/>
      <c r="X48" s="203"/>
      <c r="Y48" s="229"/>
      <c r="Z48" s="203"/>
      <c r="AA48" s="202"/>
      <c r="AB48" s="229"/>
      <c r="AC48" s="203"/>
      <c r="AD48" s="229"/>
      <c r="AE48" s="203"/>
      <c r="AF48" s="202"/>
      <c r="AG48" s="229"/>
      <c r="AH48" s="203"/>
      <c r="AI48" s="229"/>
      <c r="AJ48" s="203"/>
      <c r="AK48" s="202"/>
      <c r="AL48" s="229"/>
      <c r="AM48" s="203"/>
      <c r="AN48" s="229"/>
      <c r="AO48" s="203"/>
      <c r="AP48" s="202"/>
      <c r="AQ48" s="229"/>
      <c r="AR48" s="203"/>
      <c r="AS48" s="229"/>
      <c r="AT48" s="203"/>
      <c r="AU48" s="202"/>
      <c r="AV48" s="229"/>
      <c r="AW48" s="203"/>
      <c r="AX48" s="229"/>
      <c r="AY48" s="203"/>
      <c r="AZ48" s="202"/>
      <c r="BA48" s="229"/>
      <c r="BB48" s="203"/>
      <c r="BC48" s="229"/>
      <c r="BD48" s="203"/>
      <c r="BE48" s="202"/>
      <c r="BF48" s="229"/>
      <c r="BG48" s="203"/>
      <c r="BH48" s="229"/>
      <c r="BI48" s="203"/>
      <c r="BJ48" s="229"/>
      <c r="BK48" s="229"/>
      <c r="BL48" s="203"/>
      <c r="BM48" s="231">
        <v>0</v>
      </c>
      <c r="BN48" s="203">
        <v>-1039.3</v>
      </c>
      <c r="BO48" s="202"/>
      <c r="BP48" s="229"/>
      <c r="BQ48" s="203"/>
      <c r="BR48" s="231"/>
      <c r="BS48" s="203"/>
      <c r="BT48" s="202"/>
      <c r="BU48" s="229"/>
      <c r="BV48" s="203"/>
      <c r="BW48" s="231"/>
      <c r="BX48" s="203"/>
    </row>
    <row r="49" spans="1:76 16384:16384" s="98" customFormat="1" x14ac:dyDescent="0.2">
      <c r="A49" s="98" t="s">
        <v>83</v>
      </c>
      <c r="B49" s="99"/>
      <c r="C49" s="205">
        <v>0</v>
      </c>
      <c r="D49" s="206">
        <v>-26.308724832214764</v>
      </c>
      <c r="E49" s="205">
        <v>0</v>
      </c>
      <c r="F49" s="206">
        <v>0</v>
      </c>
      <c r="G49" s="207"/>
      <c r="H49" s="205">
        <v>0</v>
      </c>
      <c r="I49" s="206">
        <v>-39.463087248322147</v>
      </c>
      <c r="J49" s="205">
        <v>0</v>
      </c>
      <c r="K49" s="206">
        <v>0</v>
      </c>
      <c r="L49" s="207"/>
      <c r="M49" s="205">
        <v>0</v>
      </c>
      <c r="N49" s="206">
        <v>-31.677852348993287</v>
      </c>
      <c r="O49" s="205">
        <v>0</v>
      </c>
      <c r="P49" s="206">
        <v>0</v>
      </c>
      <c r="Q49" s="207"/>
      <c r="R49" s="205">
        <v>0</v>
      </c>
      <c r="S49" s="206">
        <v>-34.899328859060404</v>
      </c>
      <c r="T49" s="205">
        <v>0</v>
      </c>
      <c r="U49" s="206">
        <v>0</v>
      </c>
      <c r="V49" s="207"/>
      <c r="W49" s="205">
        <v>0</v>
      </c>
      <c r="X49" s="206">
        <v>0</v>
      </c>
      <c r="Y49" s="232">
        <v>0</v>
      </c>
      <c r="Z49" s="206">
        <v>0</v>
      </c>
      <c r="AA49" s="205"/>
      <c r="AB49" s="205">
        <v>-11.140939597315436</v>
      </c>
      <c r="AC49" s="206">
        <v>0</v>
      </c>
      <c r="AD49" s="232">
        <v>0</v>
      </c>
      <c r="AE49" s="206">
        <v>0</v>
      </c>
      <c r="AF49" s="205"/>
      <c r="AG49" s="205">
        <v>-6.3087248322147653</v>
      </c>
      <c r="AH49" s="206">
        <v>0</v>
      </c>
      <c r="AI49" s="232">
        <v>0</v>
      </c>
      <c r="AJ49" s="206">
        <v>0</v>
      </c>
      <c r="AK49" s="205"/>
      <c r="AL49" s="205">
        <v>-6.4429530201342278</v>
      </c>
      <c r="AM49" s="206">
        <v>0</v>
      </c>
      <c r="AN49" s="232">
        <v>0</v>
      </c>
      <c r="AO49" s="206">
        <v>0</v>
      </c>
      <c r="AP49" s="205"/>
      <c r="AQ49" s="230">
        <v>-25.63758389261745</v>
      </c>
      <c r="AR49" s="206">
        <v>0</v>
      </c>
      <c r="AS49" s="232">
        <v>0</v>
      </c>
      <c r="AT49" s="206">
        <v>0</v>
      </c>
      <c r="AU49" s="205"/>
      <c r="AV49" s="230">
        <v>-11.275167785234899</v>
      </c>
      <c r="AW49" s="206">
        <v>0</v>
      </c>
      <c r="AX49" s="232">
        <v>0</v>
      </c>
      <c r="AY49" s="206">
        <v>0</v>
      </c>
      <c r="AZ49" s="205"/>
      <c r="BA49" s="230">
        <v>-13.020134228187919</v>
      </c>
      <c r="BB49" s="206">
        <v>0</v>
      </c>
      <c r="BC49" s="232">
        <v>0</v>
      </c>
      <c r="BD49" s="206">
        <v>0</v>
      </c>
      <c r="BE49" s="205"/>
      <c r="BF49" s="230">
        <v>-13</v>
      </c>
      <c r="BG49" s="206">
        <v>0</v>
      </c>
      <c r="BH49" s="232">
        <v>0</v>
      </c>
      <c r="BI49" s="206">
        <v>0</v>
      </c>
      <c r="BJ49" s="230"/>
      <c r="BK49" s="230">
        <v>0</v>
      </c>
      <c r="BL49" s="206">
        <v>0</v>
      </c>
      <c r="BM49" s="232">
        <v>0</v>
      </c>
      <c r="BN49" s="206"/>
      <c r="BO49" s="205"/>
      <c r="BP49" s="230"/>
      <c r="BQ49" s="206"/>
      <c r="BR49" s="232"/>
      <c r="BS49" s="206"/>
      <c r="BT49" s="205"/>
      <c r="BU49" s="230"/>
      <c r="BV49" s="206"/>
      <c r="BW49" s="232"/>
      <c r="BX49" s="206"/>
    </row>
    <row r="50" spans="1:76 16384:16384" s="183" customFormat="1" x14ac:dyDescent="0.2">
      <c r="A50" s="183" t="s">
        <v>112</v>
      </c>
      <c r="B50" s="181"/>
      <c r="C50" s="233">
        <f>SUM(C40:C49)</f>
        <v>375.83892617449663</v>
      </c>
      <c r="D50" s="234">
        <f>SUM(D40:D49)</f>
        <v>370.73825503355704</v>
      </c>
      <c r="E50" s="233">
        <f>SUM(E40:E49)</f>
        <v>353.82550335570471</v>
      </c>
      <c r="F50" s="234">
        <f>SUM(F40:F49)</f>
        <v>367.11409395973152</v>
      </c>
      <c r="G50" s="235"/>
      <c r="H50" s="233">
        <f>SUM(H40:H49)</f>
        <v>372.48322147651004</v>
      </c>
      <c r="I50" s="234">
        <f>SUM(I40:I49)</f>
        <v>348.5906040268456</v>
      </c>
      <c r="J50" s="233">
        <f>SUM(J40:J49)</f>
        <v>359.32885906040264</v>
      </c>
      <c r="K50" s="234">
        <f>SUM(K40:K49)</f>
        <v>376.6442953020134</v>
      </c>
      <c r="L50" s="235"/>
      <c r="M50" s="233">
        <f>SUM(M40:M49)</f>
        <v>390.20134228187914</v>
      </c>
      <c r="N50" s="234">
        <f>SUM(N40:N49)</f>
        <v>385.50335570469792</v>
      </c>
      <c r="O50" s="233">
        <f>SUM(O40:O49)</f>
        <v>401.2080536912751</v>
      </c>
      <c r="P50" s="234">
        <f>SUM(P40:P49)</f>
        <v>440.67114093959725</v>
      </c>
      <c r="Q50" s="235"/>
      <c r="R50" s="233">
        <f>SUM(R40:R49)</f>
        <v>453.15436241610735</v>
      </c>
      <c r="S50" s="234">
        <f>SUM(S40:S49)</f>
        <v>455.97315436241604</v>
      </c>
      <c r="T50" s="233">
        <f>SUM(T40:T49)</f>
        <v>489.12751677852344</v>
      </c>
      <c r="U50" s="234">
        <f>SUM(U40:U49)</f>
        <v>465.06040268456371</v>
      </c>
      <c r="V50" s="235"/>
      <c r="W50" s="233">
        <f>SUM(W40:W49)</f>
        <v>467.47651006711402</v>
      </c>
      <c r="X50" s="234">
        <f>SUM(X40:X49)</f>
        <v>475.39597315436237</v>
      </c>
      <c r="Y50" s="233">
        <f>SUM(Y40:Y49)</f>
        <v>480.3624161073825</v>
      </c>
      <c r="Z50" s="234">
        <f>SUM(Z40:Z49)</f>
        <v>501.97315436241604</v>
      </c>
      <c r="AA50" s="233"/>
      <c r="AB50" s="233">
        <f>SUM(AB40:AB49)</f>
        <v>514.32214765100662</v>
      </c>
      <c r="AC50" s="234">
        <f>SUM(AC40:AC49)</f>
        <v>543.98657718120796</v>
      </c>
      <c r="AD50" s="233">
        <f>SUM(AD40:AD49)</f>
        <v>536.73825503355692</v>
      </c>
      <c r="AE50" s="234">
        <f>SUM(AE40:AE49)</f>
        <v>551.9060402684562</v>
      </c>
      <c r="AF50" s="233"/>
      <c r="AG50" s="233">
        <f>SUM(AG40:AG49)</f>
        <v>536.0671140939595</v>
      </c>
      <c r="AH50" s="234">
        <f>SUM(AH40:AH49)</f>
        <v>535.3959731543622</v>
      </c>
      <c r="AI50" s="233">
        <f>SUM(AI40:AI49)</f>
        <v>537.67785234899316</v>
      </c>
      <c r="AJ50" s="234">
        <f>SUM(AJ40:AJ49)</f>
        <v>545.73154362416096</v>
      </c>
      <c r="AK50" s="233"/>
      <c r="AL50" s="233">
        <f>SUM(AL40:AL49)</f>
        <v>553.24832214765081</v>
      </c>
      <c r="AM50" s="233">
        <f>SUM(AM40:AM49)</f>
        <v>745.99999999999977</v>
      </c>
      <c r="AN50" s="236">
        <f>SUM(AN40:AN49)</f>
        <v>759.28859060402669</v>
      </c>
      <c r="AO50" s="234">
        <f>SUM(AO40:AO49)</f>
        <v>770.02684563758373</v>
      </c>
      <c r="AP50" s="233"/>
      <c r="AQ50" s="236">
        <f>SUM(AQ40:AQ49)</f>
        <v>748.81879194630847</v>
      </c>
      <c r="AR50" s="234">
        <f>SUM(AR40:AR49)</f>
        <v>752.97986577181177</v>
      </c>
      <c r="AS50" s="236">
        <f>SUM(AS40:AS49)</f>
        <v>754.05369127516747</v>
      </c>
      <c r="AT50" s="234">
        <f>SUM(AT40:AT49)</f>
        <v>761.57046979865731</v>
      </c>
      <c r="AU50" s="233"/>
      <c r="AV50" s="236">
        <f>SUM(AV40:AV49)</f>
        <v>752.44295302013381</v>
      </c>
      <c r="AW50" s="234">
        <f>SUM(AW40:AW49)</f>
        <v>763.85234899328816</v>
      </c>
      <c r="AX50" s="236">
        <f>SUM(AX40:AX49)</f>
        <v>794.45637583892574</v>
      </c>
      <c r="AY50" s="234">
        <f>SUM(AY40:AY49)</f>
        <v>801.9731543624157</v>
      </c>
      <c r="AZ50" s="233"/>
      <c r="BA50" s="236">
        <f>SUM(BA40:BA49)</f>
        <v>847.87919463087201</v>
      </c>
      <c r="BB50" s="234">
        <f>SUM(BB40:BB49)</f>
        <v>803.44966442952966</v>
      </c>
      <c r="BC50" s="236">
        <f>SUM(BC40:BC49)</f>
        <v>799.69127516778474</v>
      </c>
      <c r="BD50" s="234">
        <f>SUM(BD40:BD49)</f>
        <v>809.45127516778484</v>
      </c>
      <c r="BE50" s="233"/>
      <c r="BF50" s="236">
        <f>SUM(BF40:BF49)</f>
        <v>802.95227516778493</v>
      </c>
      <c r="BG50" s="234">
        <f>SUM(BG40:BG49)</f>
        <v>801.65227516778498</v>
      </c>
      <c r="BH50" s="236">
        <f>SUM(BH40:BH49)</f>
        <v>760.15227516778498</v>
      </c>
      <c r="BI50" s="234">
        <f>SUM(BI40:BI49)</f>
        <v>951.35227516778491</v>
      </c>
      <c r="BJ50" s="233"/>
      <c r="BK50" s="236">
        <f>SUM(BK40:BK49)</f>
        <v>971.45227516778493</v>
      </c>
      <c r="BL50" s="234">
        <f>SUM(BL40:BL49)</f>
        <v>982.15227516778498</v>
      </c>
      <c r="BM50" s="236">
        <f>SUM(BM40:BM49)</f>
        <v>993.252275167785</v>
      </c>
      <c r="BN50" s="234">
        <f>SUM(BN40:BN49)</f>
        <v>816.25227516778523</v>
      </c>
      <c r="BO50" s="233"/>
      <c r="BP50" s="236">
        <f>SUM(BP40:BP49)</f>
        <v>774.85227516778525</v>
      </c>
      <c r="BQ50" s="234">
        <f>SUM(BQ40:BQ49)</f>
        <v>767.15227516778532</v>
      </c>
      <c r="BR50" s="236">
        <f>SUM(BR40:BR49)</f>
        <v>924.45227516778527</v>
      </c>
      <c r="BS50" s="234">
        <f>SUM(BS40:BS49)</f>
        <v>895.55227516778518</v>
      </c>
      <c r="BT50" s="233"/>
      <c r="BU50" s="236">
        <f>SUM(BU40:BU49)</f>
        <v>868.15227516778521</v>
      </c>
      <c r="BV50" s="234">
        <f>SUM(BV40:BV49)</f>
        <v>844.05227516778518</v>
      </c>
      <c r="BW50" s="236">
        <f>SUM(BW40:BW49)</f>
        <v>806.25227516778511</v>
      </c>
      <c r="BX50" s="234">
        <f>SUM(BX40:BX49)</f>
        <v>803.75227516778511</v>
      </c>
      <c r="XFD50" s="191"/>
    </row>
    <row r="51" spans="1:76 16384:16384" x14ac:dyDescent="0.2">
      <c r="AQ51" s="16"/>
      <c r="AR51" s="16"/>
      <c r="AV51" s="109"/>
      <c r="AW51" s="16"/>
      <c r="BA51" s="109"/>
      <c r="BB51" s="16"/>
      <c r="BF51" s="109"/>
      <c r="BG51" s="16"/>
      <c r="BK51" s="109"/>
      <c r="BL51" s="16"/>
      <c r="BP51" s="109"/>
      <c r="BQ51" s="16"/>
      <c r="BU51" s="109"/>
      <c r="BV51" s="16"/>
    </row>
  </sheetData>
  <mergeCells count="28"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M36"/>
  <sheetViews>
    <sheetView showGridLines="0" zoomScale="90" zoomScaleNormal="90" zoomScaleSheetLayoutView="75" workbookViewId="0">
      <pane xSplit="1" ySplit="4" topLeftCell="BZ5" activePane="bottomRight" state="frozen"/>
      <selection activeCell="O4" sqref="O4"/>
      <selection pane="topRight" activeCell="O4" sqref="O4"/>
      <selection pane="bottomLeft" activeCell="O4" sqref="O4"/>
      <selection pane="bottomRight" activeCell="CI2" sqref="CI2:CM2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16384" width="9.140625" style="15"/>
  </cols>
  <sheetData>
    <row r="1" spans="1:91" x14ac:dyDescent="0.2">
      <c r="C1" s="243"/>
      <c r="D1" s="243"/>
      <c r="E1" s="243"/>
      <c r="F1" s="243"/>
      <c r="G1" s="243"/>
      <c r="I1" s="243"/>
      <c r="J1" s="243"/>
      <c r="K1" s="243"/>
      <c r="L1" s="243"/>
      <c r="M1" s="243"/>
      <c r="O1" s="243"/>
      <c r="P1" s="243"/>
      <c r="Q1" s="243"/>
      <c r="R1" s="243"/>
      <c r="S1" s="243"/>
      <c r="U1" s="243"/>
      <c r="V1" s="243"/>
      <c r="W1" s="243"/>
      <c r="X1" s="243"/>
      <c r="Y1" s="243"/>
      <c r="AA1" s="243"/>
      <c r="AB1" s="243"/>
      <c r="AC1" s="243"/>
      <c r="AD1" s="243"/>
      <c r="AE1" s="243"/>
      <c r="AG1" s="243"/>
      <c r="AH1" s="243"/>
      <c r="AI1" s="243"/>
      <c r="AJ1" s="243"/>
      <c r="AK1" s="243"/>
      <c r="AM1" s="243"/>
      <c r="AN1" s="243"/>
      <c r="AO1" s="243"/>
      <c r="AP1" s="243"/>
      <c r="AQ1" s="243"/>
      <c r="AS1" s="243"/>
      <c r="AT1" s="243"/>
      <c r="AU1" s="243"/>
      <c r="AV1" s="243"/>
      <c r="AW1" s="243"/>
      <c r="AY1" s="243"/>
      <c r="AZ1" s="243"/>
      <c r="BA1" s="243"/>
      <c r="BB1" s="243"/>
      <c r="BC1" s="243"/>
      <c r="BE1" s="243"/>
      <c r="BF1" s="243"/>
      <c r="BG1" s="243"/>
      <c r="BH1" s="243"/>
      <c r="BI1" s="243"/>
      <c r="BK1" s="243"/>
      <c r="BL1" s="243"/>
      <c r="BM1" s="243"/>
      <c r="BN1" s="243"/>
      <c r="BO1" s="243"/>
      <c r="BQ1" s="243"/>
      <c r="BR1" s="243"/>
      <c r="BS1" s="243"/>
      <c r="BT1" s="243"/>
      <c r="BU1" s="243"/>
      <c r="BW1" s="243"/>
      <c r="BX1" s="243"/>
      <c r="BY1" s="243"/>
      <c r="BZ1" s="243"/>
      <c r="CA1" s="243"/>
      <c r="CC1" s="243"/>
      <c r="CD1" s="243"/>
      <c r="CE1" s="243"/>
      <c r="CF1" s="243"/>
      <c r="CG1" s="243"/>
      <c r="CI1" s="243"/>
      <c r="CJ1" s="243"/>
      <c r="CK1" s="243"/>
      <c r="CL1" s="243"/>
      <c r="CM1" s="243"/>
    </row>
    <row r="2" spans="1:91" x14ac:dyDescent="0.2">
      <c r="AQ2" s="96"/>
      <c r="AW2" s="96"/>
      <c r="BC2" s="96"/>
      <c r="BI2" s="96"/>
      <c r="BO2" s="96"/>
      <c r="BU2" s="96"/>
      <c r="BW2" s="242"/>
      <c r="BX2" s="242"/>
      <c r="BY2" s="242"/>
      <c r="BZ2" s="242"/>
      <c r="CA2" s="242"/>
      <c r="CC2" s="242"/>
      <c r="CD2" s="242"/>
      <c r="CE2" s="242"/>
      <c r="CF2" s="242"/>
      <c r="CG2" s="242"/>
      <c r="CI2" s="242"/>
      <c r="CJ2" s="242"/>
      <c r="CK2" s="242"/>
      <c r="CL2" s="242"/>
      <c r="CM2" s="242"/>
    </row>
    <row r="3" spans="1:91" s="104" customFormat="1" x14ac:dyDescent="0.2">
      <c r="A3" s="110" t="s">
        <v>162</v>
      </c>
      <c r="C3" s="246" t="s">
        <v>116</v>
      </c>
      <c r="D3" s="247"/>
      <c r="E3" s="247"/>
      <c r="F3" s="247"/>
      <c r="G3" s="247"/>
      <c r="I3" s="246" t="s">
        <v>117</v>
      </c>
      <c r="J3" s="247"/>
      <c r="K3" s="247"/>
      <c r="L3" s="247"/>
      <c r="M3" s="247"/>
      <c r="O3" s="246" t="s">
        <v>118</v>
      </c>
      <c r="P3" s="247"/>
      <c r="Q3" s="247"/>
      <c r="R3" s="247"/>
      <c r="S3" s="247"/>
      <c r="U3" s="246" t="s">
        <v>119</v>
      </c>
      <c r="V3" s="247"/>
      <c r="W3" s="247"/>
      <c r="X3" s="247"/>
      <c r="Y3" s="247"/>
      <c r="AA3" s="246" t="s">
        <v>120</v>
      </c>
      <c r="AB3" s="247"/>
      <c r="AC3" s="247"/>
      <c r="AD3" s="247"/>
      <c r="AE3" s="247"/>
      <c r="AG3" s="246" t="s">
        <v>121</v>
      </c>
      <c r="AH3" s="247"/>
      <c r="AI3" s="247"/>
      <c r="AJ3" s="247"/>
      <c r="AK3" s="247"/>
      <c r="AM3" s="246" t="s">
        <v>126</v>
      </c>
      <c r="AN3" s="247"/>
      <c r="AO3" s="247"/>
      <c r="AP3" s="247"/>
      <c r="AQ3" s="247"/>
      <c r="AS3" s="246" t="s">
        <v>125</v>
      </c>
      <c r="AT3" s="247"/>
      <c r="AU3" s="247"/>
      <c r="AV3" s="247"/>
      <c r="AW3" s="247"/>
      <c r="AY3" s="246" t="s">
        <v>124</v>
      </c>
      <c r="AZ3" s="247"/>
      <c r="BA3" s="247"/>
      <c r="BB3" s="247"/>
      <c r="BC3" s="247"/>
      <c r="BE3" s="246" t="s">
        <v>123</v>
      </c>
      <c r="BF3" s="247"/>
      <c r="BG3" s="247"/>
      <c r="BH3" s="247"/>
      <c r="BI3" s="247"/>
      <c r="BK3" s="246" t="s">
        <v>122</v>
      </c>
      <c r="BL3" s="247"/>
      <c r="BM3" s="247"/>
      <c r="BN3" s="247"/>
      <c r="BO3" s="247"/>
      <c r="BQ3" s="246" t="s">
        <v>140</v>
      </c>
      <c r="BR3" s="247"/>
      <c r="BS3" s="247"/>
      <c r="BT3" s="247"/>
      <c r="BU3" s="247"/>
      <c r="BW3" s="246" t="s">
        <v>169</v>
      </c>
      <c r="BX3" s="247"/>
      <c r="BY3" s="247"/>
      <c r="BZ3" s="247"/>
      <c r="CA3" s="247"/>
      <c r="CC3" s="246" t="s">
        <v>184</v>
      </c>
      <c r="CD3" s="247"/>
      <c r="CE3" s="247"/>
      <c r="CF3" s="247"/>
      <c r="CG3" s="247"/>
      <c r="CI3" s="246" t="s">
        <v>188</v>
      </c>
      <c r="CJ3" s="247"/>
      <c r="CK3" s="247"/>
      <c r="CL3" s="247"/>
      <c r="CM3" s="247"/>
    </row>
    <row r="4" spans="1:91" s="186" customFormat="1" x14ac:dyDescent="0.2">
      <c r="A4" s="185" t="s">
        <v>180</v>
      </c>
      <c r="C4" s="187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I4" s="187" t="s">
        <v>10</v>
      </c>
      <c r="J4" s="187" t="s">
        <v>11</v>
      </c>
      <c r="K4" s="187" t="s">
        <v>12</v>
      </c>
      <c r="L4" s="187" t="s">
        <v>13</v>
      </c>
      <c r="M4" s="187" t="s">
        <v>14</v>
      </c>
      <c r="O4" s="187" t="s">
        <v>10</v>
      </c>
      <c r="P4" s="187" t="s">
        <v>11</v>
      </c>
      <c r="Q4" s="187" t="s">
        <v>12</v>
      </c>
      <c r="R4" s="187" t="s">
        <v>13</v>
      </c>
      <c r="S4" s="187" t="s">
        <v>14</v>
      </c>
      <c r="U4" s="187" t="s">
        <v>10</v>
      </c>
      <c r="V4" s="187" t="s">
        <v>11</v>
      </c>
      <c r="W4" s="187" t="s">
        <v>12</v>
      </c>
      <c r="X4" s="187" t="s">
        <v>13</v>
      </c>
      <c r="Y4" s="187" t="s">
        <v>14</v>
      </c>
      <c r="AA4" s="187" t="s">
        <v>10</v>
      </c>
      <c r="AB4" s="187" t="s">
        <v>11</v>
      </c>
      <c r="AC4" s="187" t="s">
        <v>12</v>
      </c>
      <c r="AD4" s="187" t="s">
        <v>13</v>
      </c>
      <c r="AE4" s="187" t="s">
        <v>14</v>
      </c>
      <c r="AG4" s="187" t="s">
        <v>10</v>
      </c>
      <c r="AH4" s="187" t="s">
        <v>11</v>
      </c>
      <c r="AI4" s="187" t="s">
        <v>12</v>
      </c>
      <c r="AJ4" s="187" t="s">
        <v>13</v>
      </c>
      <c r="AK4" s="187" t="s">
        <v>14</v>
      </c>
      <c r="AM4" s="187" t="s">
        <v>10</v>
      </c>
      <c r="AN4" s="187" t="s">
        <v>11</v>
      </c>
      <c r="AO4" s="187" t="s">
        <v>12</v>
      </c>
      <c r="AP4" s="187" t="s">
        <v>13</v>
      </c>
      <c r="AQ4" s="187" t="s">
        <v>14</v>
      </c>
      <c r="AS4" s="187" t="s">
        <v>10</v>
      </c>
      <c r="AT4" s="187" t="s">
        <v>11</v>
      </c>
      <c r="AU4" s="187" t="s">
        <v>12</v>
      </c>
      <c r="AV4" s="187" t="s">
        <v>13</v>
      </c>
      <c r="AW4" s="187" t="s">
        <v>14</v>
      </c>
      <c r="AY4" s="187" t="s">
        <v>10</v>
      </c>
      <c r="AZ4" s="187" t="s">
        <v>11</v>
      </c>
      <c r="BA4" s="187" t="s">
        <v>12</v>
      </c>
      <c r="BB4" s="187" t="s">
        <v>13</v>
      </c>
      <c r="BC4" s="187" t="s">
        <v>14</v>
      </c>
      <c r="BE4" s="187" t="s">
        <v>10</v>
      </c>
      <c r="BF4" s="187" t="s">
        <v>11</v>
      </c>
      <c r="BG4" s="187" t="s">
        <v>12</v>
      </c>
      <c r="BH4" s="187" t="s">
        <v>13</v>
      </c>
      <c r="BI4" s="187" t="s">
        <v>14</v>
      </c>
      <c r="BK4" s="188" t="s">
        <v>10</v>
      </c>
      <c r="BL4" s="188" t="s">
        <v>11</v>
      </c>
      <c r="BM4" s="188" t="s">
        <v>12</v>
      </c>
      <c r="BN4" s="188" t="s">
        <v>13</v>
      </c>
      <c r="BO4" s="188" t="s">
        <v>14</v>
      </c>
      <c r="BP4" s="185"/>
      <c r="BQ4" s="188" t="s">
        <v>10</v>
      </c>
      <c r="BR4" s="188" t="s">
        <v>11</v>
      </c>
      <c r="BS4" s="188" t="s">
        <v>12</v>
      </c>
      <c r="BT4" s="188" t="s">
        <v>13</v>
      </c>
      <c r="BU4" s="188" t="s">
        <v>14</v>
      </c>
      <c r="BV4" s="185"/>
      <c r="BW4" s="188" t="s">
        <v>10</v>
      </c>
      <c r="BX4" s="188" t="s">
        <v>11</v>
      </c>
      <c r="BY4" s="188" t="s">
        <v>12</v>
      </c>
      <c r="BZ4" s="188" t="s">
        <v>13</v>
      </c>
      <c r="CA4" s="188" t="s">
        <v>14</v>
      </c>
      <c r="CC4" s="188" t="s">
        <v>10</v>
      </c>
      <c r="CD4" s="188" t="s">
        <v>11</v>
      </c>
      <c r="CE4" s="188" t="s">
        <v>12</v>
      </c>
      <c r="CF4" s="188" t="s">
        <v>13</v>
      </c>
      <c r="CG4" s="188" t="s">
        <v>14</v>
      </c>
      <c r="CI4" s="188" t="s">
        <v>10</v>
      </c>
      <c r="CJ4" s="188" t="s">
        <v>11</v>
      </c>
      <c r="CK4" s="188" t="s">
        <v>12</v>
      </c>
      <c r="CL4" s="188" t="s">
        <v>13</v>
      </c>
      <c r="CM4" s="188" t="s">
        <v>14</v>
      </c>
    </row>
    <row r="5" spans="1:91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</row>
    <row r="6" spans="1:91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L6" s="15">
        <v>2.2000000000000002</v>
      </c>
      <c r="CM6" s="39">
        <f>SUM(CI6:CL6)</f>
        <v>17.7</v>
      </c>
    </row>
    <row r="7" spans="1:91" x14ac:dyDescent="0.2">
      <c r="A7" s="15" t="s">
        <v>70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Highlights'!AM16</f>
        <v>-5.7718120805369129</v>
      </c>
      <c r="AN7" s="15">
        <f>+' Financial Highlights'!AN16</f>
        <v>-8.1879194630872476</v>
      </c>
      <c r="AO7" s="15">
        <f>+' Financial Highlights'!AO16</f>
        <v>-14.228187919463087</v>
      </c>
      <c r="AP7" s="15">
        <f>+' Financial Highlights'!AP16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Highlights'!BQ16</f>
        <v>-1.2</v>
      </c>
      <c r="BR7" s="15">
        <f>+' Financial Highlights'!BR16</f>
        <v>-2.9</v>
      </c>
      <c r="BS7" s="15">
        <f>+' Financial Highlights'!BS16</f>
        <v>-2.1</v>
      </c>
      <c r="BT7" s="15">
        <f>0.9+0.9</f>
        <v>1.8</v>
      </c>
      <c r="BU7" s="39">
        <f>SUM(BQ7:BT7)</f>
        <v>-4.3999999999999995</v>
      </c>
      <c r="BW7" s="15">
        <f>+' Financial Highlights'!BW16</f>
        <v>-4.4000000000000004</v>
      </c>
      <c r="BX7" s="15">
        <f>+' Financial Highlights'!BX16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L7" s="15">
        <v>-6</v>
      </c>
      <c r="CM7" s="39">
        <f>SUM(CI7:CL7)</f>
        <v>-12.2</v>
      </c>
    </row>
    <row r="8" spans="1:91" x14ac:dyDescent="0.2">
      <c r="A8" s="15" t="s">
        <v>71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</row>
    <row r="9" spans="1:91" ht="12.75" customHeight="1" x14ac:dyDescent="0.2">
      <c r="A9" s="15" t="s">
        <v>72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</row>
    <row r="10" spans="1:91" s="96" customFormat="1" ht="12.75" customHeight="1" x14ac:dyDescent="0.2">
      <c r="A10" s="15" t="s">
        <v>128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>
        <v>149.30000000000001</v>
      </c>
      <c r="CM10" s="39">
        <f>SUM(CI10:CL10)</f>
        <v>119.50000000000001</v>
      </c>
    </row>
    <row r="11" spans="1:91" s="115" customFormat="1" ht="15.75" customHeight="1" x14ac:dyDescent="0.2">
      <c r="A11" s="112" t="s">
        <v>58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>
        <f>SUM(CL6:CL10)</f>
        <v>145.5</v>
      </c>
      <c r="CM11" s="113">
        <f>SUM(CM6:CM10)</f>
        <v>125.00000000000001</v>
      </c>
    </row>
    <row r="12" spans="1:91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</row>
    <row r="13" spans="1:91" x14ac:dyDescent="0.2">
      <c r="A13" s="15" t="s">
        <v>101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  <c r="CI13" s="15">
        <v>9.5</v>
      </c>
      <c r="CJ13" s="16">
        <v>-1.8</v>
      </c>
      <c r="CK13" s="16">
        <v>0</v>
      </c>
      <c r="CL13" s="17">
        <v>-5.5</v>
      </c>
      <c r="CM13" s="39">
        <f t="shared" ref="CM13:CM18" si="2">SUM(CI13:CL13)</f>
        <v>2.2000000000000002</v>
      </c>
    </row>
    <row r="14" spans="1:91" x14ac:dyDescent="0.2">
      <c r="A14" s="15" t="s">
        <v>182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  <c r="CJ14" s="16"/>
      <c r="CK14" s="16"/>
      <c r="CL14" s="17"/>
      <c r="CM14" s="39">
        <f t="shared" si="2"/>
        <v>0</v>
      </c>
    </row>
    <row r="15" spans="1:91" x14ac:dyDescent="0.2">
      <c r="A15" s="15" t="s">
        <v>73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51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51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51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1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>
        <v>-11.2</v>
      </c>
      <c r="CM15" s="39">
        <f t="shared" si="2"/>
        <v>-33.200000000000003</v>
      </c>
    </row>
    <row r="16" spans="1:91" ht="15" customHeight="1" x14ac:dyDescent="0.2">
      <c r="A16" s="15" t="s">
        <v>100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  <c r="CJ16" s="16"/>
      <c r="CK16" s="16"/>
      <c r="CL16" s="17"/>
      <c r="CM16" s="39">
        <f t="shared" si="2"/>
        <v>0</v>
      </c>
    </row>
    <row r="17" spans="1:91" x14ac:dyDescent="0.2">
      <c r="A17" s="15" t="s">
        <v>52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  <c r="CJ17" s="16"/>
      <c r="CK17" s="16"/>
      <c r="CL17" s="17"/>
      <c r="CM17" s="39">
        <f t="shared" si="2"/>
        <v>0</v>
      </c>
    </row>
    <row r="18" spans="1:91" s="96" customFormat="1" ht="12.75" customHeight="1" x14ac:dyDescent="0.2">
      <c r="A18" s="15" t="s">
        <v>93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1"/>
        <v>-33.599999999999994</v>
      </c>
      <c r="CI18" s="104">
        <v>-5.4</v>
      </c>
      <c r="CJ18" s="111">
        <v>-10.6</v>
      </c>
      <c r="CK18" s="111">
        <v>-9.8000000000000007</v>
      </c>
      <c r="CL18" s="119">
        <v>-10</v>
      </c>
      <c r="CM18" s="39">
        <f t="shared" si="2"/>
        <v>-35.799999999999997</v>
      </c>
    </row>
    <row r="19" spans="1:91" s="115" customFormat="1" x14ac:dyDescent="0.2">
      <c r="A19" s="112" t="s">
        <v>129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8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8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12">
        <f>SUM(CL13:CL18)</f>
        <v>-26.7</v>
      </c>
      <c r="CM19" s="113">
        <f>SUM(CM13:CM18)</f>
        <v>-66.8</v>
      </c>
    </row>
    <row r="20" spans="1:91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9"/>
      <c r="CA20" s="117"/>
      <c r="CC20" s="116"/>
      <c r="CD20" s="118"/>
      <c r="CE20" s="118"/>
      <c r="CF20" s="199"/>
      <c r="CG20" s="117"/>
      <c r="CI20" s="116"/>
      <c r="CJ20" s="118"/>
      <c r="CK20" s="118"/>
      <c r="CL20" s="199"/>
      <c r="CM20" s="117"/>
    </row>
    <row r="21" spans="1:91" x14ac:dyDescent="0.2">
      <c r="A21" s="96" t="s">
        <v>181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200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200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96">
        <f>CL11+CL19</f>
        <v>118.8</v>
      </c>
      <c r="CM21" s="39">
        <f>CM11+CM19</f>
        <v>58.200000000000017</v>
      </c>
    </row>
    <row r="22" spans="1:91" x14ac:dyDescent="0.2">
      <c r="G22" s="39"/>
      <c r="M22" s="39"/>
      <c r="S22" s="39"/>
      <c r="X22" s="16"/>
      <c r="Y22" s="39"/>
      <c r="AC22" s="16"/>
      <c r="AD22" s="16"/>
      <c r="AE22" s="39"/>
      <c r="AH22" s="16"/>
      <c r="AI22" s="16"/>
      <c r="AJ22" s="16"/>
      <c r="AK22" s="39"/>
      <c r="AN22" s="16"/>
      <c r="AO22" s="16"/>
      <c r="AP22" s="16"/>
      <c r="AQ22" s="39"/>
      <c r="AT22" s="16"/>
      <c r="AU22" s="16"/>
      <c r="AV22" s="16"/>
      <c r="AW22" s="39"/>
      <c r="AZ22" s="16"/>
      <c r="BA22" s="16"/>
      <c r="BB22" s="16"/>
      <c r="BC22" s="39"/>
      <c r="BF22" s="16"/>
      <c r="BG22" s="16"/>
      <c r="BH22" s="16"/>
      <c r="BI22" s="39"/>
      <c r="BL22" s="16"/>
      <c r="BM22" s="16"/>
      <c r="BN22" s="16"/>
      <c r="BO22" s="39"/>
      <c r="BR22" s="16"/>
      <c r="BS22" s="16"/>
      <c r="BT22" s="16"/>
      <c r="BU22" s="39"/>
      <c r="BX22" s="16"/>
      <c r="BY22" s="16"/>
      <c r="BZ22" s="17"/>
      <c r="CA22" s="39"/>
      <c r="CD22" s="16"/>
      <c r="CE22" s="16"/>
      <c r="CF22" s="17"/>
      <c r="CG22" s="39"/>
      <c r="CJ22" s="16"/>
      <c r="CK22" s="16"/>
      <c r="CL22" s="17"/>
      <c r="CM22" s="39"/>
    </row>
    <row r="23" spans="1:91" ht="12.75" customHeight="1" x14ac:dyDescent="0.2">
      <c r="A23" s="15" t="s">
        <v>27</v>
      </c>
      <c r="C23" s="15">
        <v>0</v>
      </c>
      <c r="D23" s="15">
        <v>-26.308724832214764</v>
      </c>
      <c r="E23" s="15">
        <v>0</v>
      </c>
      <c r="F23" s="15">
        <v>0</v>
      </c>
      <c r="G23" s="39">
        <f>SUM(C23:F23)</f>
        <v>-26.308724832214764</v>
      </c>
      <c r="J23" s="15">
        <v>-39.463087248322147</v>
      </c>
      <c r="K23" s="15">
        <v>0</v>
      </c>
      <c r="L23" s="15">
        <v>0</v>
      </c>
      <c r="M23" s="39">
        <f>SUM(I23:L23)</f>
        <v>-39.463087248322147</v>
      </c>
      <c r="O23" s="104">
        <v>0</v>
      </c>
      <c r="P23" s="104">
        <v>-31.677852348993287</v>
      </c>
      <c r="Q23" s="104">
        <v>0</v>
      </c>
      <c r="R23" s="104">
        <v>0</v>
      </c>
      <c r="S23" s="121">
        <f>SUM(O23:R23)</f>
        <v>-31.677852348993287</v>
      </c>
      <c r="T23" s="104"/>
      <c r="U23" s="104">
        <v>0</v>
      </c>
      <c r="V23" s="104">
        <v>-34.899328859060404</v>
      </c>
      <c r="W23" s="104">
        <v>0</v>
      </c>
      <c r="X23" s="111">
        <v>0</v>
      </c>
      <c r="Y23" s="121">
        <f>SUM(U23:X23)</f>
        <v>-34.899328859060404</v>
      </c>
      <c r="AA23" s="15">
        <v>0</v>
      </c>
      <c r="AB23" s="17">
        <v>0</v>
      </c>
      <c r="AC23" s="16">
        <v>0</v>
      </c>
      <c r="AD23" s="16">
        <v>0</v>
      </c>
      <c r="AE23" s="39">
        <f>SUM(AA23:AD23)</f>
        <v>0</v>
      </c>
      <c r="AG23" s="15">
        <v>-11.140939597315436</v>
      </c>
      <c r="AH23" s="16">
        <v>0</v>
      </c>
      <c r="AI23" s="16">
        <v>0</v>
      </c>
      <c r="AJ23" s="16">
        <v>0</v>
      </c>
      <c r="AK23" s="39">
        <f>SUM(AG23:AJ23)</f>
        <v>-11.140939597315436</v>
      </c>
      <c r="AM23" s="15">
        <v>-6.3087248322147653</v>
      </c>
      <c r="AN23" s="16">
        <v>0</v>
      </c>
      <c r="AO23" s="16">
        <v>0</v>
      </c>
      <c r="AP23" s="16">
        <v>0</v>
      </c>
      <c r="AQ23" s="39">
        <f>SUM(AM23:AP23)</f>
        <v>-6.3087248322147653</v>
      </c>
      <c r="AS23" s="15">
        <v>0</v>
      </c>
      <c r="AT23" s="16">
        <v>-6.4429530201342278</v>
      </c>
      <c r="AU23" s="16">
        <v>0</v>
      </c>
      <c r="AV23" s="16">
        <v>0</v>
      </c>
      <c r="AW23" s="39">
        <f>SUM(AS23:AV23)</f>
        <v>-6.4429530201342278</v>
      </c>
      <c r="AY23" s="15">
        <v>-25.63758389261745</v>
      </c>
      <c r="AZ23" s="16">
        <v>0</v>
      </c>
      <c r="BA23" s="16">
        <v>0</v>
      </c>
      <c r="BB23" s="16">
        <v>0</v>
      </c>
      <c r="BC23" s="39">
        <f>SUM(AY23:BB23)</f>
        <v>-25.63758389261745</v>
      </c>
      <c r="BE23" s="15">
        <v>-11.275167785234899</v>
      </c>
      <c r="BF23" s="16">
        <v>0</v>
      </c>
      <c r="BG23" s="16">
        <v>0</v>
      </c>
      <c r="BH23" s="16">
        <v>0</v>
      </c>
      <c r="BI23" s="39">
        <f>SUM(BE23:BH23)</f>
        <v>-11.275167785234899</v>
      </c>
      <c r="BK23" s="15">
        <v>-13.020134228187919</v>
      </c>
      <c r="BL23" s="16"/>
      <c r="BM23" s="16"/>
      <c r="BN23" s="16"/>
      <c r="BO23" s="39">
        <f>SUM(BK23:BN23)</f>
        <v>-13.020134228187919</v>
      </c>
      <c r="BR23" s="16">
        <v>-13</v>
      </c>
      <c r="BS23" s="16"/>
      <c r="BT23" s="16"/>
      <c r="BU23" s="39">
        <f>SUM(BQ23:BT23)</f>
        <v>-13</v>
      </c>
      <c r="BX23" s="16"/>
      <c r="BY23" s="16"/>
      <c r="BZ23" s="17"/>
      <c r="CA23" s="39">
        <f>SUM(BW23:BZ23)</f>
        <v>0</v>
      </c>
      <c r="CD23" s="16"/>
      <c r="CE23" s="16"/>
      <c r="CF23" s="17"/>
      <c r="CG23" s="39">
        <f>SUM(CC23:CF23)</f>
        <v>0</v>
      </c>
      <c r="CJ23" s="16"/>
      <c r="CK23" s="16"/>
      <c r="CL23" s="17"/>
      <c r="CM23" s="39">
        <f>SUM(CI23:CL23)</f>
        <v>0</v>
      </c>
    </row>
    <row r="24" spans="1:91" ht="12.75" customHeight="1" x14ac:dyDescent="0.2">
      <c r="A24" s="15" t="s">
        <v>195</v>
      </c>
      <c r="G24" s="39"/>
      <c r="M24" s="39"/>
      <c r="O24" s="104"/>
      <c r="P24" s="104"/>
      <c r="Q24" s="104"/>
      <c r="R24" s="104"/>
      <c r="S24" s="121"/>
      <c r="T24" s="104"/>
      <c r="U24" s="104"/>
      <c r="V24" s="104"/>
      <c r="W24" s="104"/>
      <c r="X24" s="111"/>
      <c r="Y24" s="121"/>
      <c r="AB24" s="17"/>
      <c r="AC24" s="16"/>
      <c r="AD24" s="16"/>
      <c r="AE24" s="39"/>
      <c r="AH24" s="16"/>
      <c r="AI24" s="16"/>
      <c r="AJ24" s="16"/>
      <c r="AK24" s="39"/>
      <c r="AN24" s="16"/>
      <c r="AO24" s="16"/>
      <c r="AP24" s="16"/>
      <c r="AQ24" s="39"/>
      <c r="AT24" s="16"/>
      <c r="AU24" s="16"/>
      <c r="AV24" s="16"/>
      <c r="AW24" s="39"/>
      <c r="AZ24" s="16"/>
      <c r="BA24" s="16"/>
      <c r="BB24" s="16"/>
      <c r="BC24" s="39"/>
      <c r="BF24" s="16"/>
      <c r="BG24" s="16"/>
      <c r="BH24" s="16"/>
      <c r="BI24" s="39"/>
      <c r="BL24" s="16"/>
      <c r="BM24" s="16"/>
      <c r="BN24" s="16"/>
      <c r="BO24" s="39"/>
      <c r="BR24" s="16"/>
      <c r="BS24" s="16"/>
      <c r="BT24" s="16"/>
      <c r="BU24" s="39"/>
      <c r="BX24" s="16"/>
      <c r="BY24" s="16"/>
      <c r="BZ24" s="17"/>
      <c r="CA24" s="39"/>
      <c r="CD24" s="16"/>
      <c r="CE24" s="16"/>
      <c r="CF24" s="17"/>
      <c r="CG24" s="39"/>
      <c r="CJ24" s="16"/>
      <c r="CK24" s="16">
        <v>-8.1</v>
      </c>
      <c r="CL24" s="17"/>
      <c r="CM24" s="39">
        <f>SUM(CI24:CL24)</f>
        <v>-8.1</v>
      </c>
    </row>
    <row r="25" spans="1:91" ht="12.75" customHeight="1" x14ac:dyDescent="0.2">
      <c r="A25" s="15" t="s">
        <v>196</v>
      </c>
      <c r="G25" s="39"/>
      <c r="M25" s="39"/>
      <c r="O25" s="104"/>
      <c r="P25" s="104"/>
      <c r="Q25" s="104"/>
      <c r="R25" s="104"/>
      <c r="S25" s="121"/>
      <c r="T25" s="104"/>
      <c r="U25" s="104"/>
      <c r="V25" s="104"/>
      <c r="W25" s="104"/>
      <c r="X25" s="111"/>
      <c r="Y25" s="121"/>
      <c r="AB25" s="17"/>
      <c r="AC25" s="16"/>
      <c r="AD25" s="16"/>
      <c r="AE25" s="39"/>
      <c r="AH25" s="16"/>
      <c r="AI25" s="16"/>
      <c r="AJ25" s="16"/>
      <c r="AK25" s="39"/>
      <c r="AN25" s="16"/>
      <c r="AO25" s="16"/>
      <c r="AP25" s="16"/>
      <c r="AQ25" s="39"/>
      <c r="AT25" s="16"/>
      <c r="AU25" s="16"/>
      <c r="AV25" s="16"/>
      <c r="AW25" s="39"/>
      <c r="AZ25" s="16"/>
      <c r="BA25" s="16"/>
      <c r="BB25" s="16"/>
      <c r="BC25" s="39"/>
      <c r="BF25" s="16"/>
      <c r="BG25" s="16"/>
      <c r="BH25" s="16"/>
      <c r="BI25" s="39"/>
      <c r="BL25" s="16"/>
      <c r="BM25" s="16"/>
      <c r="BN25" s="16"/>
      <c r="BO25" s="39"/>
      <c r="BR25" s="16"/>
      <c r="BS25" s="16"/>
      <c r="BT25" s="16"/>
      <c r="BU25" s="39"/>
      <c r="BX25" s="16"/>
      <c r="BY25" s="16"/>
      <c r="BZ25" s="17"/>
      <c r="CA25" s="39"/>
      <c r="CD25" s="16"/>
      <c r="CE25" s="16"/>
      <c r="CF25" s="17"/>
      <c r="CG25" s="39"/>
      <c r="CJ25" s="16"/>
      <c r="CK25" s="16"/>
      <c r="CL25" s="17">
        <v>-5</v>
      </c>
      <c r="CM25" s="39">
        <f>SUM(CI25:CL25)</f>
        <v>-5</v>
      </c>
    </row>
    <row r="26" spans="1:91" ht="12.75" customHeight="1" x14ac:dyDescent="0.2">
      <c r="A26" s="15" t="s">
        <v>78</v>
      </c>
      <c r="G26" s="39"/>
      <c r="M26" s="39"/>
      <c r="O26" s="104"/>
      <c r="P26" s="104"/>
      <c r="Q26" s="104"/>
      <c r="R26" s="104"/>
      <c r="S26" s="121"/>
      <c r="T26" s="104"/>
      <c r="U26" s="104"/>
      <c r="V26" s="104"/>
      <c r="W26" s="104"/>
      <c r="X26" s="111"/>
      <c r="Y26" s="121"/>
      <c r="AB26" s="17"/>
      <c r="AC26" s="16"/>
      <c r="AD26" s="16"/>
      <c r="AE26" s="39"/>
      <c r="AG26" s="15">
        <v>-0.53691275167785235</v>
      </c>
      <c r="AH26" s="16">
        <v>0</v>
      </c>
      <c r="AI26" s="16">
        <v>-2.6845637583892619</v>
      </c>
      <c r="AJ26" s="16">
        <v>0</v>
      </c>
      <c r="AK26" s="39">
        <f>SUM(AG26:AJ26)</f>
        <v>-3.2214765100671143</v>
      </c>
      <c r="AM26" s="15">
        <v>0</v>
      </c>
      <c r="AN26" s="16">
        <v>0</v>
      </c>
      <c r="AO26" s="16">
        <v>0</v>
      </c>
      <c r="AP26" s="16">
        <v>-0.13422818791946309</v>
      </c>
      <c r="AQ26" s="39">
        <f>SUM(AM26:AP26)</f>
        <v>-0.13422818791946309</v>
      </c>
      <c r="AS26" s="15">
        <v>-0.13422818791946309</v>
      </c>
      <c r="AT26" s="16">
        <v>-0.13422818791946309</v>
      </c>
      <c r="AU26" s="16">
        <v>0</v>
      </c>
      <c r="AV26" s="16">
        <v>0</v>
      </c>
      <c r="AW26" s="39">
        <f>SUM(AS26:AV26)</f>
        <v>-0.26845637583892618</v>
      </c>
      <c r="AY26" s="15">
        <v>0</v>
      </c>
      <c r="AZ26" s="16">
        <v>0</v>
      </c>
      <c r="BA26" s="16">
        <v>0</v>
      </c>
      <c r="BB26" s="16">
        <v>0</v>
      </c>
      <c r="BC26" s="39">
        <f>SUM(AY26:BB26)</f>
        <v>0</v>
      </c>
      <c r="BF26" s="16"/>
      <c r="BG26" s="16">
        <v>-0.13422818791946309</v>
      </c>
      <c r="BH26" s="16"/>
      <c r="BI26" s="39">
        <f>SUM(BE26:BH26)</f>
        <v>-0.13422818791946309</v>
      </c>
      <c r="BL26" s="16"/>
      <c r="BM26" s="16"/>
      <c r="BN26" s="16"/>
      <c r="BO26" s="39">
        <f>SUM(BK26:BN26)</f>
        <v>0</v>
      </c>
      <c r="BR26" s="16">
        <v>-3</v>
      </c>
      <c r="BS26" s="16">
        <v>-0.8</v>
      </c>
      <c r="BT26" s="16">
        <v>-0.6</v>
      </c>
      <c r="BU26" s="39">
        <f>SUM(BQ26:BT26)</f>
        <v>-4.3999999999999995</v>
      </c>
      <c r="BX26" s="16"/>
      <c r="BY26" s="16"/>
      <c r="BZ26" s="17"/>
      <c r="CA26" s="39">
        <f>SUM(BW26:BZ26)</f>
        <v>0</v>
      </c>
      <c r="CD26" s="16"/>
      <c r="CE26" s="16"/>
      <c r="CF26" s="17"/>
      <c r="CG26" s="39">
        <f>SUM(CC26:CF26)</f>
        <v>0</v>
      </c>
      <c r="CJ26" s="16"/>
      <c r="CK26" s="16"/>
      <c r="CL26" s="16"/>
      <c r="CM26" s="39">
        <f>SUM(CI26:CL26)</f>
        <v>0</v>
      </c>
    </row>
    <row r="27" spans="1:91" s="96" customFormat="1" ht="12.75" customHeight="1" x14ac:dyDescent="0.2">
      <c r="A27" s="15" t="s">
        <v>147</v>
      </c>
      <c r="B27" s="15"/>
      <c r="C27" s="104">
        <v>-1.6107382550335569</v>
      </c>
      <c r="D27" s="104">
        <v>0</v>
      </c>
      <c r="E27" s="104">
        <v>-37.04697986577181</v>
      </c>
      <c r="F27" s="104">
        <v>-1.8791946308724832</v>
      </c>
      <c r="G27" s="121">
        <f>SUM(C27:F27)</f>
        <v>-40.536912751677853</v>
      </c>
      <c r="H27" s="15"/>
      <c r="I27" s="104">
        <v>-8.5906040268456376</v>
      </c>
      <c r="J27" s="104">
        <v>1.8791946308724832</v>
      </c>
      <c r="K27" s="104">
        <v>0</v>
      </c>
      <c r="L27" s="104">
        <v>0</v>
      </c>
      <c r="M27" s="121">
        <f>SUM(I27:L27)</f>
        <v>-6.7114093959731544</v>
      </c>
      <c r="N27" s="15"/>
      <c r="O27" s="104">
        <v>0.93959731543624159</v>
      </c>
      <c r="P27" s="104">
        <v>1.2080536912751678</v>
      </c>
      <c r="Q27" s="104">
        <v>-0.13422818791946309</v>
      </c>
      <c r="R27" s="104">
        <v>0</v>
      </c>
      <c r="S27" s="121">
        <f>SUM(O27:R27)</f>
        <v>2.0134228187919465</v>
      </c>
      <c r="T27" s="15"/>
      <c r="U27" s="104">
        <v>0.40268456375838924</v>
      </c>
      <c r="V27" s="104">
        <v>1.3422818791946309</v>
      </c>
      <c r="W27" s="104">
        <v>0</v>
      </c>
      <c r="X27" s="111">
        <v>0</v>
      </c>
      <c r="Y27" s="121">
        <f>SUM(U27:X27)</f>
        <v>1.7449664429530203</v>
      </c>
      <c r="Z27" s="15"/>
      <c r="AA27" s="104">
        <v>0</v>
      </c>
      <c r="AB27" s="104">
        <v>0</v>
      </c>
      <c r="AC27" s="104">
        <v>0</v>
      </c>
      <c r="AD27" s="111">
        <v>0</v>
      </c>
      <c r="AE27" s="121">
        <f>SUM(AA27:AD27)</f>
        <v>0</v>
      </c>
      <c r="AG27" s="104">
        <v>0.13422818791946309</v>
      </c>
      <c r="AH27" s="111">
        <v>0.40268456375838924</v>
      </c>
      <c r="AI27" s="104">
        <v>0</v>
      </c>
      <c r="AJ27" s="111">
        <v>0</v>
      </c>
      <c r="AK27" s="121">
        <f>SUM(AG27:AJ27)</f>
        <v>0.53691275167785235</v>
      </c>
      <c r="AM27" s="104">
        <v>0</v>
      </c>
      <c r="AN27" s="111">
        <v>0</v>
      </c>
      <c r="AO27" s="104">
        <v>0</v>
      </c>
      <c r="AP27" s="111">
        <v>0</v>
      </c>
      <c r="AQ27" s="121">
        <f>SUM(AM27:AP27)</f>
        <v>0</v>
      </c>
      <c r="AS27" s="104">
        <v>2.9530201342281877</v>
      </c>
      <c r="AT27" s="111">
        <v>0</v>
      </c>
      <c r="AU27" s="104">
        <v>0</v>
      </c>
      <c r="AV27" s="111">
        <v>0.13422818791946309</v>
      </c>
      <c r="AW27" s="121">
        <f>SUM(AS27:AV27)</f>
        <v>3.0872483221476505</v>
      </c>
      <c r="AY27" s="104">
        <v>0.93959731543624159</v>
      </c>
      <c r="AZ27" s="111">
        <v>0</v>
      </c>
      <c r="BA27" s="104">
        <v>0</v>
      </c>
      <c r="BB27" s="111">
        <v>0</v>
      </c>
      <c r="BC27" s="121">
        <f>SUM(AY27:BB27)</f>
        <v>0.93959731543624159</v>
      </c>
      <c r="BE27" s="104">
        <v>0.13422818791946309</v>
      </c>
      <c r="BF27" s="111"/>
      <c r="BG27" s="104"/>
      <c r="BH27" s="111"/>
      <c r="BI27" s="121">
        <f>SUM(BE27:BH27)</f>
        <v>0.13422818791946309</v>
      </c>
      <c r="BK27" s="104">
        <v>11.409395973154362</v>
      </c>
      <c r="BL27" s="111"/>
      <c r="BM27" s="104"/>
      <c r="BN27" s="111">
        <v>-0.1</v>
      </c>
      <c r="BO27" s="121">
        <f>SUM(BK27:BN27)</f>
        <v>11.309395973154363</v>
      </c>
      <c r="BQ27" s="104">
        <f>-4.7+6.3</f>
        <v>1.5999999999999996</v>
      </c>
      <c r="BR27" s="111">
        <v>-20.100000000000001</v>
      </c>
      <c r="BS27" s="104">
        <f>-15.7</f>
        <v>-15.7</v>
      </c>
      <c r="BT27" s="111">
        <v>184.7</v>
      </c>
      <c r="BU27" s="121">
        <f>SUM(BQ27:BT27)</f>
        <v>150.5</v>
      </c>
      <c r="BW27" s="104">
        <v>7.8</v>
      </c>
      <c r="BX27" s="111">
        <v>1.7</v>
      </c>
      <c r="BY27" s="104">
        <v>0.6</v>
      </c>
      <c r="BZ27" s="119">
        <v>0</v>
      </c>
      <c r="CA27" s="121">
        <f>SUM(BW27:BZ27)</f>
        <v>10.1</v>
      </c>
      <c r="CC27" s="104"/>
      <c r="CD27" s="111"/>
      <c r="CE27" s="104">
        <v>148.30000000000001</v>
      </c>
      <c r="CF27" s="119">
        <v>0</v>
      </c>
      <c r="CG27" s="121">
        <f>SUM(CC27:CF27)</f>
        <v>148.30000000000001</v>
      </c>
      <c r="CI27" s="104"/>
      <c r="CJ27" s="111"/>
      <c r="CK27" s="104"/>
      <c r="CL27" s="119">
        <v>1.7</v>
      </c>
      <c r="CM27" s="121">
        <f>SUM(CI27:CL27)</f>
        <v>1.7</v>
      </c>
    </row>
    <row r="28" spans="1:91" s="115" customFormat="1" x14ac:dyDescent="0.2">
      <c r="A28" s="112" t="s">
        <v>28</v>
      </c>
      <c r="B28" s="112"/>
      <c r="C28" s="112">
        <f>SUM(C21:C27)</f>
        <v>-23.624161073825501</v>
      </c>
      <c r="D28" s="112">
        <f>SUM(D21:D27)</f>
        <v>-27.248322147651002</v>
      </c>
      <c r="E28" s="112">
        <f>SUM(E21:E27)</f>
        <v>-39.060402684563755</v>
      </c>
      <c r="F28" s="112">
        <f>SUM(F21:F27)</f>
        <v>12.885906040268456</v>
      </c>
      <c r="G28" s="113">
        <f>SUM(G21:G27)</f>
        <v>-77.046979865771817</v>
      </c>
      <c r="H28" s="112"/>
      <c r="I28" s="112">
        <f>SUM(I21:I27)</f>
        <v>-53.020134228187921</v>
      </c>
      <c r="J28" s="112">
        <f>SUM(J21:J27)</f>
        <v>-6.1744966442953029</v>
      </c>
      <c r="K28" s="112">
        <f>SUM(K21:K27)</f>
        <v>7.5167785234899327</v>
      </c>
      <c r="L28" s="112">
        <f>SUM(L21:L27)</f>
        <v>14.8993288590604</v>
      </c>
      <c r="M28" s="113">
        <f>SUM(M21:M27)</f>
        <v>-36.77852348993288</v>
      </c>
      <c r="N28" s="112"/>
      <c r="O28" s="112">
        <f>SUM(O21:O27)</f>
        <v>-130.46979865771812</v>
      </c>
      <c r="P28" s="112">
        <f>SUM(P21:P27)</f>
        <v>-43.758389261744966</v>
      </c>
      <c r="Q28" s="112">
        <f>SUM(Q21:Q27)</f>
        <v>2.147651006711405</v>
      </c>
      <c r="R28" s="112">
        <f>SUM(R21:R27)</f>
        <v>44.026845637583897</v>
      </c>
      <c r="S28" s="113">
        <f>SUM(S21:S27)</f>
        <v>-128.05369127516778</v>
      </c>
      <c r="T28" s="112"/>
      <c r="U28" s="112">
        <f>SUM(U21:U27)</f>
        <v>-24.429530201342285</v>
      </c>
      <c r="V28" s="112">
        <f>SUM(V21:V27)</f>
        <v>-74.765100671140942</v>
      </c>
      <c r="W28" s="112">
        <f>SUM(W21:W27)</f>
        <v>-4.0268456375838895</v>
      </c>
      <c r="X28" s="114">
        <f>SUM(X21:X27)</f>
        <v>68.322147651006716</v>
      </c>
      <c r="Y28" s="113">
        <f>SUM(Y21:Y27)</f>
        <v>-34.899328859060383</v>
      </c>
      <c r="Z28" s="112"/>
      <c r="AA28" s="112">
        <f>SUM(AA21:AA27)</f>
        <v>-5.060402684563762</v>
      </c>
      <c r="AB28" s="112">
        <f>SUM(AB21:AB27)</f>
        <v>-36.912751677852349</v>
      </c>
      <c r="AC28" s="114">
        <f>SUM(AC21:AC27)</f>
        <v>-10.738255033557049</v>
      </c>
      <c r="AD28" s="114">
        <f>SUM(AD21:AD27)</f>
        <v>-7.114093959731548</v>
      </c>
      <c r="AE28" s="113">
        <f>SUM(AE21:AE27)</f>
        <v>-59.825503355704683</v>
      </c>
      <c r="AG28" s="112">
        <f>SUM(AG21:AG27)</f>
        <v>-84.295302013422813</v>
      </c>
      <c r="AH28" s="114">
        <f>SUM(AH21:AH27)</f>
        <v>-53.288590604026844</v>
      </c>
      <c r="AI28" s="114">
        <f>SUM(AI21:AI27)</f>
        <v>-44.697986577181204</v>
      </c>
      <c r="AJ28" s="114">
        <f>SUM(AJ21:AJ27)</f>
        <v>4.2953020134228197</v>
      </c>
      <c r="AK28" s="113">
        <f>SUM(AK21:AK27)</f>
        <v>-177.98657718120802</v>
      </c>
      <c r="AM28" s="112">
        <f>SUM(AM21:AM27)</f>
        <v>-98.255033557046971</v>
      </c>
      <c r="AN28" s="114">
        <f>SUM(AN21:AN27)</f>
        <v>-15.570469798657715</v>
      </c>
      <c r="AO28" s="114">
        <f>SUM(AO21:AO27)</f>
        <v>27.382550335570471</v>
      </c>
      <c r="AP28" s="114">
        <f>SUM(AP21:AP27)</f>
        <v>46.577181208053695</v>
      </c>
      <c r="AQ28" s="113">
        <f>SUM(AQ21:AQ27)</f>
        <v>-39.86577181208051</v>
      </c>
      <c r="AS28" s="112">
        <f>SUM(AS21:AS27)</f>
        <v>-11.543624161073822</v>
      </c>
      <c r="AT28" s="114">
        <f>SUM(AT21:AT27)</f>
        <v>-13.691275167785234</v>
      </c>
      <c r="AU28" s="114">
        <f>SUM(AU21:AU27)</f>
        <v>-11.677852348993291</v>
      </c>
      <c r="AV28" s="114">
        <f>SUM(AV21:AV27)</f>
        <v>112.48322147651008</v>
      </c>
      <c r="AW28" s="113">
        <f>SUM(AW21:AW27)</f>
        <v>75.570469798657712</v>
      </c>
      <c r="AY28" s="112">
        <f>SUM(AY21:AY27)</f>
        <v>-109.79865771812079</v>
      </c>
      <c r="AZ28" s="112">
        <f>SUM(AZ21:AZ27)</f>
        <v>-16.375838926174495</v>
      </c>
      <c r="BA28" s="112">
        <f>SUM(BA21:BA27)</f>
        <v>4.0268456375838895</v>
      </c>
      <c r="BB28" s="112">
        <f>SUM(BB21:BB27)</f>
        <v>77.449664429530202</v>
      </c>
      <c r="BC28" s="113">
        <f>SUM(BC21:BC27)</f>
        <v>-44.697986577181211</v>
      </c>
      <c r="BE28" s="112">
        <f>SUM(BE21:BE27)</f>
        <v>13.95973154362416</v>
      </c>
      <c r="BF28" s="112">
        <f>SUM(BF21:BF27)</f>
        <v>-0.13422818791946511</v>
      </c>
      <c r="BG28" s="112">
        <f>SUM(BG21:BG27)</f>
        <v>0.53691275167785535</v>
      </c>
      <c r="BH28" s="112">
        <f>SUM(BH21:BH27)</f>
        <v>136.37583892617451</v>
      </c>
      <c r="BI28" s="113">
        <f>SUM(BI21:BI27)</f>
        <v>150.73825503355704</v>
      </c>
      <c r="BK28" s="112">
        <f>SUM(BK21:BK27)</f>
        <v>-1.3422818791946298</v>
      </c>
      <c r="BL28" s="112">
        <f>SUM(BL21:BL27)</f>
        <v>-24.429530201342281</v>
      </c>
      <c r="BM28" s="112">
        <f>SUM(BM21:BM27)</f>
        <v>22.953020134228186</v>
      </c>
      <c r="BN28" s="112">
        <f>SUM(BN21:BN27)</f>
        <v>84.4</v>
      </c>
      <c r="BO28" s="113">
        <f>SUM(BO21:BO27)</f>
        <v>81.581208053691299</v>
      </c>
      <c r="BQ28" s="112">
        <f>SUM(BQ21:BQ27)</f>
        <v>-77.899000000000015</v>
      </c>
      <c r="BR28" s="112">
        <f>SUM(BR21:BR27)</f>
        <v>-24.900000000000002</v>
      </c>
      <c r="BS28" s="112">
        <f>SUM(BS21:BS27)</f>
        <v>11.100000000000001</v>
      </c>
      <c r="BT28" s="112">
        <f>SUM(BT21:BT27)</f>
        <v>251.89999999999998</v>
      </c>
      <c r="BU28" s="113">
        <f>SUM(BU21:BU27)</f>
        <v>160.20099999999999</v>
      </c>
      <c r="BW28" s="112">
        <f>SUM(BW21:BW27)</f>
        <v>-686.5</v>
      </c>
      <c r="BX28" s="112">
        <f>SUM(BX21:BX27)</f>
        <v>-135.1</v>
      </c>
      <c r="BY28" s="112">
        <f>SUM(BY21:BY27)</f>
        <v>15.300000000000002</v>
      </c>
      <c r="BZ28" s="198">
        <f>SUM(BZ21:BZ27)</f>
        <v>422.1</v>
      </c>
      <c r="CA28" s="113">
        <f>SUM(CA21:CA27)</f>
        <v>-384.20000000000005</v>
      </c>
      <c r="CC28" s="112">
        <f>SUM(CC21:CC27)</f>
        <v>-141.4</v>
      </c>
      <c r="CD28" s="112">
        <f>SUM(CD21:CD27)</f>
        <v>23</v>
      </c>
      <c r="CE28" s="112">
        <f>SUM(CE21:CE27)</f>
        <v>102.50000000000001</v>
      </c>
      <c r="CF28" s="198">
        <f>SUM(CF21:CF27)</f>
        <v>61.099999999999987</v>
      </c>
      <c r="CG28" s="113">
        <f>SUM(CG21:CG27)</f>
        <v>45.2</v>
      </c>
      <c r="CI28" s="112">
        <f>SUM(CI21:CI27)</f>
        <v>-54.699999999999996</v>
      </c>
      <c r="CJ28" s="112">
        <f>SUM(CJ21:CJ27)</f>
        <v>0.40000000000000213</v>
      </c>
      <c r="CK28" s="112">
        <f>SUM(CK21:CK27)</f>
        <v>-14.399999999999999</v>
      </c>
      <c r="CL28" s="112">
        <f>SUM(CL21:CL27)</f>
        <v>115.5</v>
      </c>
      <c r="CM28" s="113">
        <f>SUM(CM21:CM27)</f>
        <v>46.800000000000018</v>
      </c>
    </row>
    <row r="29" spans="1:91" s="116" customFormat="1" x14ac:dyDescent="0.2">
      <c r="G29" s="117"/>
      <c r="M29" s="117"/>
      <c r="S29" s="117"/>
      <c r="X29" s="118"/>
      <c r="Y29" s="117"/>
      <c r="AC29" s="118"/>
      <c r="AD29" s="118"/>
      <c r="AE29" s="117"/>
      <c r="AH29" s="118"/>
      <c r="AI29" s="118"/>
      <c r="AJ29" s="118"/>
      <c r="AK29" s="117"/>
      <c r="AN29" s="118"/>
      <c r="AO29" s="118"/>
      <c r="AP29" s="118"/>
      <c r="AQ29" s="117"/>
      <c r="AT29" s="118"/>
      <c r="AU29" s="118"/>
      <c r="AV29" s="118"/>
      <c r="AW29" s="117"/>
      <c r="AZ29" s="118"/>
      <c r="BA29" s="118"/>
      <c r="BB29" s="118"/>
      <c r="BC29" s="117"/>
      <c r="BF29" s="118"/>
      <c r="BG29" s="118"/>
      <c r="BH29" s="118"/>
      <c r="BI29" s="117"/>
      <c r="BL29" s="118"/>
      <c r="BM29" s="118"/>
      <c r="BN29" s="118"/>
      <c r="BO29" s="117"/>
      <c r="BR29" s="118"/>
      <c r="BS29" s="118"/>
      <c r="BT29" s="118"/>
      <c r="BU29" s="117"/>
      <c r="BX29" s="118"/>
      <c r="BY29" s="118"/>
      <c r="BZ29" s="199"/>
      <c r="CA29" s="117"/>
      <c r="CD29" s="118"/>
      <c r="CE29" s="118"/>
      <c r="CF29" s="199"/>
      <c r="CG29" s="117"/>
      <c r="CJ29" s="118"/>
      <c r="CK29" s="118"/>
      <c r="CL29" s="199"/>
      <c r="CM29" s="117"/>
    </row>
    <row r="30" spans="1:91" x14ac:dyDescent="0.2">
      <c r="A30" s="15" t="s">
        <v>84</v>
      </c>
      <c r="G30" s="39"/>
      <c r="M30" s="39"/>
      <c r="S30" s="39"/>
      <c r="X30" s="16"/>
      <c r="Y30" s="39"/>
      <c r="AC30" s="16"/>
      <c r="AD30" s="16"/>
      <c r="AE30" s="39"/>
      <c r="AH30" s="16"/>
      <c r="AI30" s="16"/>
      <c r="AJ30" s="16"/>
      <c r="AK30" s="39"/>
      <c r="AN30" s="16"/>
      <c r="AO30" s="16"/>
      <c r="AP30" s="16"/>
      <c r="AQ30" s="39"/>
      <c r="AS30" s="15">
        <v>0</v>
      </c>
      <c r="AT30" s="16">
        <v>265.1006711409396</v>
      </c>
      <c r="AU30" s="16">
        <v>0</v>
      </c>
      <c r="AV30" s="16">
        <v>0.67114093959731547</v>
      </c>
      <c r="AW30" s="39">
        <f>SUM(AS30:AV30)</f>
        <v>265.7718120805369</v>
      </c>
      <c r="AZ30" s="16"/>
      <c r="BA30" s="16"/>
      <c r="BB30" s="16"/>
      <c r="BC30" s="39">
        <f>SUM(AY30:BB30)</f>
        <v>0</v>
      </c>
      <c r="BF30" s="16"/>
      <c r="BG30" s="16"/>
      <c r="BH30" s="16"/>
      <c r="BI30" s="39">
        <f>SUM(BE30:BH30)</f>
        <v>0</v>
      </c>
      <c r="BL30" s="16"/>
      <c r="BM30" s="16"/>
      <c r="BN30" s="16"/>
      <c r="BO30" s="39">
        <f>SUM(BK30:BN30)</f>
        <v>0</v>
      </c>
      <c r="BR30" s="16"/>
      <c r="BS30" s="16"/>
      <c r="BT30" s="16"/>
      <c r="BU30" s="39">
        <f>SUM(BQ30:BT30)</f>
        <v>0</v>
      </c>
      <c r="BX30" s="16"/>
      <c r="BY30" s="16"/>
      <c r="BZ30" s="17"/>
      <c r="CA30" s="39">
        <f>SUM(BW30:BZ30)</f>
        <v>0</v>
      </c>
      <c r="CD30" s="16"/>
      <c r="CE30" s="16"/>
      <c r="CF30" s="17"/>
      <c r="CG30" s="39">
        <f>SUM(CC30:CF30)</f>
        <v>0</v>
      </c>
      <c r="CJ30" s="16"/>
      <c r="CK30" s="16"/>
      <c r="CL30" s="17"/>
      <c r="CM30" s="39">
        <f>SUM(CI30:CL30)</f>
        <v>0</v>
      </c>
    </row>
    <row r="31" spans="1:91" x14ac:dyDescent="0.2">
      <c r="G31" s="39"/>
      <c r="M31" s="39"/>
      <c r="S31" s="39"/>
      <c r="X31" s="16"/>
      <c r="Y31" s="39"/>
      <c r="AC31" s="16"/>
      <c r="AD31" s="16"/>
      <c r="AE31" s="39"/>
      <c r="AH31" s="16"/>
      <c r="AI31" s="16"/>
      <c r="AJ31" s="16"/>
      <c r="AK31" s="39"/>
      <c r="AN31" s="16"/>
      <c r="AO31" s="16"/>
      <c r="AP31" s="16"/>
      <c r="AQ31" s="39"/>
      <c r="AT31" s="16"/>
      <c r="AU31" s="16"/>
      <c r="AV31" s="16"/>
      <c r="AW31" s="39"/>
      <c r="AZ31" s="16"/>
      <c r="BA31" s="16"/>
      <c r="BB31" s="16"/>
      <c r="BC31" s="39"/>
      <c r="BF31" s="16"/>
      <c r="BG31" s="16"/>
      <c r="BH31" s="16"/>
      <c r="BI31" s="39"/>
      <c r="BL31" s="16"/>
      <c r="BM31" s="16"/>
      <c r="BN31" s="16"/>
      <c r="BO31" s="39"/>
      <c r="BR31" s="16"/>
      <c r="BS31" s="16"/>
      <c r="BT31" s="16"/>
      <c r="BU31" s="39"/>
      <c r="BX31" s="16"/>
      <c r="BY31" s="16"/>
      <c r="BZ31" s="17"/>
      <c r="CA31" s="39"/>
      <c r="CD31" s="16"/>
      <c r="CE31" s="16"/>
      <c r="CF31" s="17"/>
      <c r="CG31" s="39"/>
      <c r="CJ31" s="16"/>
      <c r="CK31" s="16"/>
      <c r="CL31" s="17"/>
      <c r="CM31" s="39"/>
    </row>
    <row r="32" spans="1:91" x14ac:dyDescent="0.2">
      <c r="A32" s="15" t="s">
        <v>131</v>
      </c>
      <c r="C32" s="15">
        <v>-19.463087248322147</v>
      </c>
      <c r="D32" s="15">
        <f>C35</f>
        <v>-45.234899328859051</v>
      </c>
      <c r="E32" s="15">
        <f>D35</f>
        <v>-75.033557046979851</v>
      </c>
      <c r="F32" s="15">
        <f>E35</f>
        <v>-115.16778523489931</v>
      </c>
      <c r="G32" s="39">
        <f>C32</f>
        <v>-19.463087248322147</v>
      </c>
      <c r="I32" s="15">
        <f>F35</f>
        <v>-102.55033557046978</v>
      </c>
      <c r="J32" s="15">
        <f>I35</f>
        <v>-157.85234899328859</v>
      </c>
      <c r="K32" s="15">
        <f>J35</f>
        <v>-163.89261744966444</v>
      </c>
      <c r="L32" s="15">
        <f>K35</f>
        <v>-156.77852348993289</v>
      </c>
      <c r="M32" s="39">
        <f>I32</f>
        <v>-102.55033557046978</v>
      </c>
      <c r="O32" s="15">
        <f>L35</f>
        <v>-137.31543624161074</v>
      </c>
      <c r="P32" s="15">
        <f>+O35</f>
        <v>-266.71140939597319</v>
      </c>
      <c r="Q32" s="15">
        <f>+P35</f>
        <v>-311.27516778523494</v>
      </c>
      <c r="R32" s="15">
        <f>+Q35</f>
        <v>-309.53020134228194</v>
      </c>
      <c r="S32" s="39">
        <f>O32</f>
        <v>-137.31543624161074</v>
      </c>
      <c r="U32" s="15">
        <f>+S35</f>
        <v>-267.78523489932883</v>
      </c>
      <c r="V32" s="15">
        <f>+U35</f>
        <v>-297.31543624161071</v>
      </c>
      <c r="W32" s="15">
        <f>+V35</f>
        <v>-379.19463087248317</v>
      </c>
      <c r="X32" s="16">
        <f>+W35</f>
        <v>-378.65771812080533</v>
      </c>
      <c r="Y32" s="39">
        <f>U32</f>
        <v>-267.78523489932883</v>
      </c>
      <c r="AA32" s="15">
        <f>+Y35</f>
        <v>-303.35570469798654</v>
      </c>
      <c r="AB32" s="15">
        <f>+AA35</f>
        <v>-306.41610738255031</v>
      </c>
      <c r="AC32" s="16">
        <f>AB35</f>
        <v>-347.22147651006708</v>
      </c>
      <c r="AD32" s="16">
        <f>AC35</f>
        <v>-359.83892617449658</v>
      </c>
      <c r="AE32" s="39">
        <f>AA32</f>
        <v>-303.35570469798654</v>
      </c>
      <c r="AG32" s="15">
        <f>+AE35</f>
        <v>-365.74496644295294</v>
      </c>
      <c r="AH32" s="16">
        <f>+AG35</f>
        <v>-455.54362416107375</v>
      </c>
      <c r="AI32" s="16">
        <f>+AH35</f>
        <v>-508.69798657718115</v>
      </c>
      <c r="AJ32" s="16">
        <f>+AI35</f>
        <v>-556.214765100671</v>
      </c>
      <c r="AK32" s="39">
        <f>AG32</f>
        <v>-365.74496644295294</v>
      </c>
      <c r="AM32" s="15">
        <f>+AJ35</f>
        <v>-550.979865771812</v>
      </c>
      <c r="AN32" s="16">
        <f>+AM35</f>
        <v>-647.08724832214762</v>
      </c>
      <c r="AO32" s="16">
        <f>+AN35</f>
        <v>-663.06040268456377</v>
      </c>
      <c r="AP32" s="16">
        <f>+AO35</f>
        <v>-640.37583892617442</v>
      </c>
      <c r="AQ32" s="39">
        <f>AM32</f>
        <v>-550.979865771812</v>
      </c>
      <c r="AS32" s="15">
        <f>+AP35</f>
        <v>-594.469798657718</v>
      </c>
      <c r="AT32" s="16">
        <f>+AS35</f>
        <v>-602.79194630872473</v>
      </c>
      <c r="AU32" s="16">
        <f>+AT35</f>
        <v>-361.31543624161066</v>
      </c>
      <c r="AV32" s="16">
        <f>+AU35</f>
        <v>-369.23489932885894</v>
      </c>
      <c r="AW32" s="39">
        <f>AS32</f>
        <v>-594.469798657718</v>
      </c>
      <c r="AY32" s="15">
        <f>+AV35</f>
        <v>-256.214765100671</v>
      </c>
      <c r="AZ32" s="16">
        <f>+AY35</f>
        <v>-372.59060402684548</v>
      </c>
      <c r="BA32" s="16">
        <f>+AZ35</f>
        <v>-381.04697986577162</v>
      </c>
      <c r="BB32" s="16">
        <f>+BA35</f>
        <v>-369.50335570469781</v>
      </c>
      <c r="BC32" s="39">
        <f>AY32</f>
        <v>-256.214765100671</v>
      </c>
      <c r="BE32" s="15">
        <f>+BB35</f>
        <v>-283.32885906040246</v>
      </c>
      <c r="BF32" s="16">
        <f>+BE35</f>
        <v>-268.2953020134226</v>
      </c>
      <c r="BG32" s="16">
        <f>+BF35</f>
        <v>-269.50335570469775</v>
      </c>
      <c r="BH32" s="16">
        <f>+BG35</f>
        <v>-284.40268456375816</v>
      </c>
      <c r="BI32" s="39">
        <f>BE32</f>
        <v>-283.32885906040246</v>
      </c>
      <c r="BK32" s="15">
        <f>+BH35</f>
        <v>-152.32214765100647</v>
      </c>
      <c r="BL32" s="16">
        <f>+BK35</f>
        <v>-177.4228187919461</v>
      </c>
      <c r="BM32" s="16">
        <f>+BL35</f>
        <v>-192.99328859060381</v>
      </c>
      <c r="BN32" s="16">
        <f>+BM35</f>
        <v>-167.48993288590583</v>
      </c>
      <c r="BO32" s="39">
        <f>BK32</f>
        <v>-152.32214765100647</v>
      </c>
      <c r="BQ32" s="15">
        <f>+BN35</f>
        <v>-88.889932885905822</v>
      </c>
      <c r="BR32" s="16">
        <f>+BQ35</f>
        <v>-158.88893288590583</v>
      </c>
      <c r="BS32" s="16">
        <f>+BR35</f>
        <v>-188.18893288590584</v>
      </c>
      <c r="BT32" s="16">
        <f>+BS35</f>
        <v>-174.58893288590585</v>
      </c>
      <c r="BU32" s="39">
        <f>BQ32</f>
        <v>-88.889932885905822</v>
      </c>
      <c r="BW32" s="15">
        <f>+BT35</f>
        <v>68.411067114094124</v>
      </c>
      <c r="BX32" s="16">
        <f>+BW35</f>
        <v>-616.78893288590598</v>
      </c>
      <c r="BY32" s="16">
        <f>+BX35</f>
        <v>-742.28893288590598</v>
      </c>
      <c r="BZ32" s="17">
        <f>+BY35</f>
        <v>-720.08893288590605</v>
      </c>
      <c r="CA32" s="39">
        <f>BW32</f>
        <v>68.411067114094124</v>
      </c>
      <c r="CC32" s="15">
        <f>+BZ35</f>
        <v>-293.18893288590601</v>
      </c>
      <c r="CD32" s="16">
        <f>+CC35</f>
        <v>-432.68893288590607</v>
      </c>
      <c r="CE32" s="16">
        <f>+CD35</f>
        <v>-409.48893288590608</v>
      </c>
      <c r="CF32" s="17">
        <f>+CE35</f>
        <v>-307.48893288590608</v>
      </c>
      <c r="CG32" s="39">
        <f>CC32</f>
        <v>-293.18893288590601</v>
      </c>
      <c r="CI32" s="15">
        <f>+CF35</f>
        <v>-248.28893288590609</v>
      </c>
      <c r="CJ32" s="16">
        <f>+CI35</f>
        <v>-338.98893288590608</v>
      </c>
      <c r="CK32" s="16">
        <f>+CJ35</f>
        <v>-336.0889328859061</v>
      </c>
      <c r="CL32" s="16">
        <f>+CK35</f>
        <v>-349.88893288590606</v>
      </c>
      <c r="CM32" s="39">
        <f>CI32</f>
        <v>-248.28893288590609</v>
      </c>
    </row>
    <row r="33" spans="1:91" x14ac:dyDescent="0.2">
      <c r="A33" s="15" t="s">
        <v>189</v>
      </c>
      <c r="G33" s="39"/>
      <c r="M33" s="39"/>
      <c r="S33" s="39"/>
      <c r="X33" s="16"/>
      <c r="Y33" s="39"/>
      <c r="AC33" s="16"/>
      <c r="AD33" s="16"/>
      <c r="AE33" s="39"/>
      <c r="AH33" s="16"/>
      <c r="AI33" s="16"/>
      <c r="AJ33" s="16"/>
      <c r="AK33" s="39"/>
      <c r="AN33" s="16"/>
      <c r="AO33" s="16"/>
      <c r="AP33" s="16"/>
      <c r="AQ33" s="39"/>
      <c r="AT33" s="16"/>
      <c r="AU33" s="16"/>
      <c r="AV33" s="16"/>
      <c r="AW33" s="39"/>
      <c r="AZ33" s="16"/>
      <c r="BA33" s="16"/>
      <c r="BB33" s="16"/>
      <c r="BC33" s="39"/>
      <c r="BF33" s="16"/>
      <c r="BG33" s="16"/>
      <c r="BH33" s="16"/>
      <c r="BI33" s="39"/>
      <c r="BL33" s="16"/>
      <c r="BM33" s="16"/>
      <c r="BN33" s="16"/>
      <c r="BO33" s="39"/>
      <c r="BR33" s="16"/>
      <c r="BS33" s="16"/>
      <c r="BT33" s="16"/>
      <c r="BU33" s="39"/>
      <c r="BX33" s="16"/>
      <c r="BY33" s="16"/>
      <c r="BZ33" s="17"/>
      <c r="CA33" s="39"/>
      <c r="CD33" s="16"/>
      <c r="CE33" s="16"/>
      <c r="CF33" s="17"/>
      <c r="CG33" s="39"/>
      <c r="CI33" s="15">
        <v>-36.799999999999997</v>
      </c>
      <c r="CJ33" s="16"/>
      <c r="CK33" s="16"/>
      <c r="CL33" s="17"/>
      <c r="CM33" s="39">
        <v>-36.799999999999997</v>
      </c>
    </row>
    <row r="34" spans="1:91" s="96" customFormat="1" ht="18.75" customHeight="1" x14ac:dyDescent="0.2">
      <c r="A34" s="15" t="s">
        <v>130</v>
      </c>
      <c r="B34" s="15"/>
      <c r="C34" s="15">
        <v>-2.1476510067114094</v>
      </c>
      <c r="D34" s="15">
        <v>-2.5503355704697985</v>
      </c>
      <c r="E34" s="15">
        <v>-1.0738255033557047</v>
      </c>
      <c r="F34" s="15">
        <v>-0.26845637583892618</v>
      </c>
      <c r="G34" s="39">
        <f>SUM(C34:F34)</f>
        <v>-6.0402684563758386</v>
      </c>
      <c r="H34" s="15"/>
      <c r="I34" s="15">
        <v>-2.2818791946308723</v>
      </c>
      <c r="J34" s="15">
        <v>0.13422818791946309</v>
      </c>
      <c r="K34" s="15">
        <v>-0.40268456375838924</v>
      </c>
      <c r="L34" s="15">
        <v>4.5637583892617446</v>
      </c>
      <c r="M34" s="39">
        <f>SUM(I34:L34)</f>
        <v>2.0134228187919461</v>
      </c>
      <c r="N34" s="15"/>
      <c r="O34" s="15">
        <v>1.0738255033557047</v>
      </c>
      <c r="P34" s="15">
        <v>-0.80536912751677847</v>
      </c>
      <c r="Q34" s="15">
        <v>-0.40268456375838924</v>
      </c>
      <c r="R34" s="15">
        <v>-2.2818791946308723</v>
      </c>
      <c r="S34" s="39">
        <f>SUM(O34:R34)</f>
        <v>-2.4161073825503352</v>
      </c>
      <c r="T34" s="15"/>
      <c r="U34" s="15">
        <v>-5.1006711409395971</v>
      </c>
      <c r="V34" s="15">
        <v>-7.1140939597315436</v>
      </c>
      <c r="W34" s="15">
        <v>4.5637583892617446</v>
      </c>
      <c r="X34" s="16">
        <v>6.9798657718120802</v>
      </c>
      <c r="Y34" s="39">
        <f>SUM(U34:X34)</f>
        <v>-0.6711409395973158</v>
      </c>
      <c r="Z34" s="15"/>
      <c r="AA34" s="15">
        <v>2</v>
      </c>
      <c r="AB34" s="17">
        <v>-3.8926174496644292</v>
      </c>
      <c r="AC34" s="16">
        <v>-1.8791946308724832</v>
      </c>
      <c r="AD34" s="16">
        <v>1.2080536912751678</v>
      </c>
      <c r="AE34" s="39">
        <f>SUM(AA34:AD34)</f>
        <v>-2.5637583892617446</v>
      </c>
      <c r="AG34" s="15">
        <v>-5.5033557046979862</v>
      </c>
      <c r="AH34" s="16">
        <v>0.13422818791946309</v>
      </c>
      <c r="AI34" s="16">
        <v>-2.8187919463087248</v>
      </c>
      <c r="AJ34" s="16">
        <v>0.93959731543624159</v>
      </c>
      <c r="AK34" s="39">
        <f>SUM(AG34:AJ34)</f>
        <v>-7.248322147651006</v>
      </c>
      <c r="AM34" s="15">
        <v>2.1476510067114094</v>
      </c>
      <c r="AN34" s="16">
        <v>-0.40268456375838924</v>
      </c>
      <c r="AO34" s="16">
        <v>-4.6979865771812079</v>
      </c>
      <c r="AP34" s="16">
        <v>-0.67114093959731547</v>
      </c>
      <c r="AQ34" s="39">
        <f>SUM(AM34:AP34)</f>
        <v>-3.624161073825503</v>
      </c>
      <c r="AS34" s="15">
        <v>3.2214765100671139</v>
      </c>
      <c r="AT34" s="16">
        <v>-9.9328859060402674</v>
      </c>
      <c r="AU34" s="16">
        <v>3.7583892617449663</v>
      </c>
      <c r="AV34" s="16">
        <v>-0.13422818791946309</v>
      </c>
      <c r="AW34" s="39">
        <f>SUM(AS34:AV34)</f>
        <v>-3.0872483221476501</v>
      </c>
      <c r="AY34" s="15">
        <v>-6.5771812080536911</v>
      </c>
      <c r="AZ34" s="16">
        <v>7.9194630872483218</v>
      </c>
      <c r="BA34" s="16">
        <v>7.5167785234899327</v>
      </c>
      <c r="BB34" s="16">
        <v>8.724832214765101</v>
      </c>
      <c r="BC34" s="39">
        <f>SUM(AY34:BB34)</f>
        <v>17.583892617449663</v>
      </c>
      <c r="BE34" s="15">
        <v>1.0738255033557047</v>
      </c>
      <c r="BF34" s="16">
        <v>-1.0738255033557047</v>
      </c>
      <c r="BG34" s="16">
        <v>-15.436241610738255</v>
      </c>
      <c r="BH34" s="16">
        <v>-4.2953020134228188</v>
      </c>
      <c r="BI34" s="39">
        <f>SUM(BE34:BH34)</f>
        <v>-19.731543624161073</v>
      </c>
      <c r="BK34" s="15">
        <v>-23.758389261744966</v>
      </c>
      <c r="BL34" s="16">
        <v>8.8590604026845643</v>
      </c>
      <c r="BM34" s="16">
        <v>2.5503355704697985</v>
      </c>
      <c r="BN34" s="16">
        <v>-5.8</v>
      </c>
      <c r="BO34" s="39">
        <f>SUM(BK34:BN34)</f>
        <v>-18.148993288590603</v>
      </c>
      <c r="BQ34" s="15">
        <v>7.9</v>
      </c>
      <c r="BR34" s="16">
        <v>-4.4000000000000004</v>
      </c>
      <c r="BS34" s="16">
        <v>2.5</v>
      </c>
      <c r="BT34" s="16">
        <v>-8.9</v>
      </c>
      <c r="BU34" s="39">
        <f>SUM(BQ34:BT34)</f>
        <v>-2.9000000000000004</v>
      </c>
      <c r="BW34" s="15">
        <v>1.3</v>
      </c>
      <c r="BX34" s="16">
        <v>9.6</v>
      </c>
      <c r="BY34" s="16">
        <v>6.9</v>
      </c>
      <c r="BZ34" s="17">
        <v>4.8</v>
      </c>
      <c r="CA34" s="39">
        <f>SUM(BW34:BZ34)</f>
        <v>22.6</v>
      </c>
      <c r="CC34" s="15">
        <v>1.9</v>
      </c>
      <c r="CD34" s="16">
        <v>0.2</v>
      </c>
      <c r="CE34" s="16">
        <v>-0.5</v>
      </c>
      <c r="CF34" s="17">
        <v>-1.9</v>
      </c>
      <c r="CG34" s="39">
        <f>SUM(CC34:CF34)</f>
        <v>-0.29999999999999982</v>
      </c>
      <c r="CI34" s="15">
        <v>0.8</v>
      </c>
      <c r="CJ34" s="16">
        <v>2.5</v>
      </c>
      <c r="CK34" s="16">
        <v>0.6</v>
      </c>
      <c r="CL34" s="17">
        <v>-7.8</v>
      </c>
      <c r="CM34" s="39">
        <f>SUM(CI34:CL34)</f>
        <v>-3.9</v>
      </c>
    </row>
    <row r="35" spans="1:91" s="183" customFormat="1" x14ac:dyDescent="0.2">
      <c r="A35" s="181" t="s">
        <v>132</v>
      </c>
      <c r="B35" s="181"/>
      <c r="C35" s="181">
        <f>SUM(C28:C34)</f>
        <v>-45.234899328859051</v>
      </c>
      <c r="D35" s="181">
        <f>SUM(D28:D34)</f>
        <v>-75.033557046979851</v>
      </c>
      <c r="E35" s="181">
        <f>SUM(E28:E34)</f>
        <v>-115.16778523489931</v>
      </c>
      <c r="F35" s="181">
        <f>SUM(F28:F34)</f>
        <v>-102.55033557046978</v>
      </c>
      <c r="G35" s="182">
        <f>SUM(G28:G34)</f>
        <v>-102.55033557046981</v>
      </c>
      <c r="H35" s="181"/>
      <c r="I35" s="181">
        <f>SUM(I28:I34)</f>
        <v>-157.85234899328859</v>
      </c>
      <c r="J35" s="181">
        <f>SUM(J28:J34)</f>
        <v>-163.89261744966444</v>
      </c>
      <c r="K35" s="181">
        <f>SUM(K28:K34)</f>
        <v>-156.77852348993289</v>
      </c>
      <c r="L35" s="181">
        <f>SUM(L28:L34)</f>
        <v>-137.31543624161074</v>
      </c>
      <c r="M35" s="182">
        <f>SUM(M28:M34)</f>
        <v>-137.31543624161071</v>
      </c>
      <c r="N35" s="181"/>
      <c r="O35" s="181">
        <f>SUM(O28:O34)</f>
        <v>-266.71140939597319</v>
      </c>
      <c r="P35" s="181">
        <f>SUM(P28:P34)</f>
        <v>-311.27516778523494</v>
      </c>
      <c r="Q35" s="181">
        <f>SUM(Q28:Q34)</f>
        <v>-309.53020134228194</v>
      </c>
      <c r="R35" s="181">
        <f>SUM(R28:R34)</f>
        <v>-267.78523489932888</v>
      </c>
      <c r="S35" s="182">
        <f>SUM(S28:S34)</f>
        <v>-267.78523489932883</v>
      </c>
      <c r="T35" s="181"/>
      <c r="U35" s="181">
        <f>SUM(U28:U34)</f>
        <v>-297.31543624161071</v>
      </c>
      <c r="V35" s="181">
        <f>SUM(V28:V34)</f>
        <v>-379.19463087248317</v>
      </c>
      <c r="W35" s="181">
        <f>SUM(W28:W34)</f>
        <v>-378.65771812080533</v>
      </c>
      <c r="X35" s="181">
        <f>SUM(X28:X34)</f>
        <v>-303.35570469798654</v>
      </c>
      <c r="Y35" s="182">
        <f>SUM(Y28:Y34)</f>
        <v>-303.35570469798654</v>
      </c>
      <c r="Z35" s="181"/>
      <c r="AA35" s="181">
        <f>SUM(AA28:AA34)</f>
        <v>-306.41610738255031</v>
      </c>
      <c r="AB35" s="181">
        <f>SUM(AB28:AB34)</f>
        <v>-347.22147651006708</v>
      </c>
      <c r="AC35" s="181">
        <f>SUM(AC28:AC34)</f>
        <v>-359.83892617449658</v>
      </c>
      <c r="AD35" s="181">
        <f>SUM(AD28:AD34)</f>
        <v>-365.744966442953</v>
      </c>
      <c r="AE35" s="182">
        <f>SUM(AE28:AE34)</f>
        <v>-365.74496644295294</v>
      </c>
      <c r="AG35" s="181">
        <f>SUM(AG28:AG34)</f>
        <v>-455.54362416107375</v>
      </c>
      <c r="AH35" s="184">
        <f>SUM(AH28:AH34)</f>
        <v>-508.69798657718115</v>
      </c>
      <c r="AI35" s="181">
        <f>SUM(AI28:AI34)</f>
        <v>-556.214765100671</v>
      </c>
      <c r="AJ35" s="181">
        <f>SUM(AJ28:AJ34)</f>
        <v>-550.979865771812</v>
      </c>
      <c r="AK35" s="182">
        <f>SUM(AK28:AK34)</f>
        <v>-550.979865771812</v>
      </c>
      <c r="AM35" s="181">
        <f>SUM(AM28:AM34)</f>
        <v>-647.08724832214762</v>
      </c>
      <c r="AN35" s="184">
        <f>SUM(AN28:AN34)</f>
        <v>-663.06040268456377</v>
      </c>
      <c r="AO35" s="181">
        <f>SUM(AO28:AO34)</f>
        <v>-640.37583892617442</v>
      </c>
      <c r="AP35" s="181">
        <f>SUM(AP28:AP34)</f>
        <v>-594.469798657718</v>
      </c>
      <c r="AQ35" s="182">
        <f>SUM(AQ28:AQ34)</f>
        <v>-594.469798657718</v>
      </c>
      <c r="AS35" s="181">
        <f>SUM(AS28:AS34)</f>
        <v>-602.79194630872473</v>
      </c>
      <c r="AT35" s="184">
        <f>SUM(AT28:AT34)</f>
        <v>-361.31543624161066</v>
      </c>
      <c r="AU35" s="181">
        <f>SUM(AU28:AU34)</f>
        <v>-369.23489932885894</v>
      </c>
      <c r="AV35" s="181">
        <f>SUM(AV28:AV34)</f>
        <v>-256.214765100671</v>
      </c>
      <c r="AW35" s="182">
        <f>SUM(AW28:AW34)</f>
        <v>-256.21476510067106</v>
      </c>
      <c r="AY35" s="181">
        <f>SUM(AY28:AY34)</f>
        <v>-372.59060402684548</v>
      </c>
      <c r="AZ35" s="181">
        <f>SUM(AZ28:AZ34)</f>
        <v>-381.04697986577162</v>
      </c>
      <c r="BA35" s="181">
        <f>SUM(BA28:BA34)</f>
        <v>-369.50335570469781</v>
      </c>
      <c r="BB35" s="181">
        <f>SUM(BB28:BB34)</f>
        <v>-283.32885906040246</v>
      </c>
      <c r="BC35" s="182">
        <f>SUM(BC28:BC34)</f>
        <v>-283.32885906040258</v>
      </c>
      <c r="BE35" s="181">
        <f>SUM(BE28:BE34)</f>
        <v>-268.2953020134226</v>
      </c>
      <c r="BF35" s="181">
        <f>SUM(BF28:BF34)</f>
        <v>-269.50335570469775</v>
      </c>
      <c r="BG35" s="181">
        <f>SUM(BG28:BG34)</f>
        <v>-284.40268456375816</v>
      </c>
      <c r="BH35" s="181">
        <f>SUM(BH28:BH34)</f>
        <v>-152.32214765100647</v>
      </c>
      <c r="BI35" s="182">
        <f>SUM(BI28:BI34)</f>
        <v>-152.3221476510065</v>
      </c>
      <c r="BK35" s="181">
        <f>SUM(BK28:BK34)</f>
        <v>-177.4228187919461</v>
      </c>
      <c r="BL35" s="181">
        <f>SUM(BL28:BL34)</f>
        <v>-192.99328859060381</v>
      </c>
      <c r="BM35" s="181">
        <f>SUM(BM28:BM34)</f>
        <v>-167.48993288590583</v>
      </c>
      <c r="BN35" s="181">
        <f>SUM(BN28:BN34)</f>
        <v>-88.889932885905822</v>
      </c>
      <c r="BO35" s="182">
        <f>SUM(BO28:BO34)</f>
        <v>-88.889932885905779</v>
      </c>
      <c r="BQ35" s="181">
        <f>SUM(BQ28:BQ34)</f>
        <v>-158.88893288590583</v>
      </c>
      <c r="BR35" s="181">
        <f>SUM(BR28:BR34)</f>
        <v>-188.18893288590584</v>
      </c>
      <c r="BS35" s="181">
        <f>SUM(BS28:BS34)</f>
        <v>-174.58893288590585</v>
      </c>
      <c r="BT35" s="181">
        <f>SUM(BT28:BT34)</f>
        <v>68.411067114094124</v>
      </c>
      <c r="BU35" s="182">
        <f>SUM(BU28:BU34)</f>
        <v>68.411067114094166</v>
      </c>
      <c r="BW35" s="181">
        <f>SUM(BW28:BW34)</f>
        <v>-616.78893288590598</v>
      </c>
      <c r="BX35" s="181">
        <f>SUM(BX28:BX34)</f>
        <v>-742.28893288590598</v>
      </c>
      <c r="BY35" s="181">
        <f>SUM(BY28:BY34)</f>
        <v>-720.08893288590605</v>
      </c>
      <c r="BZ35" s="181">
        <f>SUM(BZ28:BZ34)</f>
        <v>-293.18893288590601</v>
      </c>
      <c r="CA35" s="182">
        <f>SUM(CA28:CA34)</f>
        <v>-293.1889328859059</v>
      </c>
      <c r="CC35" s="181">
        <f>SUM(CC28:CC34)</f>
        <v>-432.68893288590607</v>
      </c>
      <c r="CD35" s="181">
        <f>SUM(CD28:CD34)</f>
        <v>-409.48893288590608</v>
      </c>
      <c r="CE35" s="181">
        <f>SUM(CE28:CE34)</f>
        <v>-307.48893288590608</v>
      </c>
      <c r="CF35" s="181">
        <f>SUM(CF28:CF34)</f>
        <v>-248.28893288590609</v>
      </c>
      <c r="CG35" s="182">
        <f>SUM(CG28:CG34)</f>
        <v>-248.28893288590604</v>
      </c>
      <c r="CI35" s="181">
        <f>SUM(CI28:CI34)</f>
        <v>-338.98893288590608</v>
      </c>
      <c r="CJ35" s="181">
        <f>SUM(CJ28:CJ34)</f>
        <v>-336.0889328859061</v>
      </c>
      <c r="CK35" s="181">
        <f>SUM(CK28:CK34)</f>
        <v>-349.88893288590606</v>
      </c>
      <c r="CL35" s="181">
        <f>SUM(CL28:CL34)</f>
        <v>-242.18893288590607</v>
      </c>
      <c r="CM35" s="182">
        <f>SUM(CM28:CM34)</f>
        <v>-242.1889328859061</v>
      </c>
    </row>
    <row r="36" spans="1:91" s="104" customFormat="1" x14ac:dyDescent="0.2">
      <c r="G36" s="151"/>
      <c r="M36" s="151"/>
      <c r="S36" s="151"/>
      <c r="Y36" s="151"/>
      <c r="AE36" s="151"/>
      <c r="AH36" s="111"/>
      <c r="AK36" s="151"/>
    </row>
  </sheetData>
  <mergeCells count="33">
    <mergeCell ref="CI1:CM1"/>
    <mergeCell ref="CI2:CM2"/>
    <mergeCell ref="CI3:CM3"/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  <mergeCell ref="BW1:CA1"/>
    <mergeCell ref="BE3:BI3"/>
    <mergeCell ref="CC1:CG1"/>
    <mergeCell ref="CC2:CG2"/>
    <mergeCell ref="CC3:CG3"/>
    <mergeCell ref="BW2:CA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M86"/>
  <sheetViews>
    <sheetView showGridLines="0" zoomScale="80" zoomScaleNormal="80" workbookViewId="0">
      <pane xSplit="2" ySplit="3" topLeftCell="BL16" activePane="bottomRight" state="frozen"/>
      <selection activeCell="O4" sqref="O4"/>
      <selection pane="topRight" activeCell="O4" sqref="O4"/>
      <selection pane="bottomLeft" activeCell="O4" sqref="O4"/>
      <selection pane="bottomRight" activeCell="CI1" sqref="CI1:CM1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41"/>
      <c r="D1" s="241"/>
      <c r="E1" s="241"/>
      <c r="F1" s="241"/>
      <c r="G1" s="241"/>
      <c r="I1" s="241"/>
      <c r="J1" s="241"/>
      <c r="K1" s="241"/>
      <c r="L1" s="241"/>
      <c r="M1" s="241"/>
      <c r="O1" s="241"/>
      <c r="P1" s="241"/>
      <c r="Q1" s="241"/>
      <c r="R1" s="241"/>
      <c r="S1" s="241"/>
      <c r="U1" s="241"/>
      <c r="V1" s="241"/>
      <c r="W1" s="241"/>
      <c r="X1" s="241"/>
      <c r="Y1" s="241"/>
      <c r="AA1" s="241"/>
      <c r="AB1" s="241"/>
      <c r="AC1" s="241"/>
      <c r="AD1" s="241"/>
      <c r="AE1" s="241"/>
      <c r="AG1" s="241"/>
      <c r="AH1" s="241"/>
      <c r="AI1" s="241"/>
      <c r="AJ1" s="241"/>
      <c r="AK1" s="241"/>
      <c r="AM1" s="241"/>
      <c r="AN1" s="241"/>
      <c r="AO1" s="241"/>
      <c r="AP1" s="241"/>
      <c r="AQ1" s="241"/>
      <c r="AS1" s="241"/>
      <c r="AT1" s="241"/>
      <c r="AU1" s="241"/>
      <c r="AV1" s="241"/>
      <c r="AW1" s="241"/>
      <c r="AY1" s="241"/>
      <c r="AZ1" s="241"/>
      <c r="BA1" s="241"/>
      <c r="BB1" s="241"/>
      <c r="BC1" s="241"/>
      <c r="BE1" s="241"/>
      <c r="BF1" s="241"/>
      <c r="BG1" s="241"/>
      <c r="BH1" s="241"/>
      <c r="BI1" s="241"/>
      <c r="BK1" s="241"/>
      <c r="BL1" s="241"/>
      <c r="BM1" s="241"/>
      <c r="BN1" s="241"/>
      <c r="BO1" s="241"/>
      <c r="BQ1" s="241"/>
      <c r="BR1" s="241"/>
      <c r="BS1" s="241"/>
      <c r="BT1" s="241"/>
      <c r="BU1" s="241"/>
      <c r="BW1" s="242" t="s">
        <v>174</v>
      </c>
      <c r="BX1" s="242"/>
      <c r="BY1" s="242"/>
      <c r="BZ1" s="242"/>
      <c r="CA1" s="242"/>
      <c r="CC1" s="242"/>
      <c r="CD1" s="242"/>
      <c r="CE1" s="242"/>
      <c r="CF1" s="242"/>
      <c r="CG1" s="242"/>
      <c r="CI1" s="242"/>
      <c r="CJ1" s="242"/>
      <c r="CK1" s="242"/>
      <c r="CL1" s="242"/>
      <c r="CM1" s="242"/>
    </row>
    <row r="2" spans="1:221" x14ac:dyDescent="0.2">
      <c r="A2" s="1" t="s">
        <v>162</v>
      </c>
      <c r="C2" s="240">
        <v>2005</v>
      </c>
      <c r="D2" s="240"/>
      <c r="E2" s="240"/>
      <c r="F2" s="240"/>
      <c r="G2" s="240"/>
      <c r="I2" s="240">
        <v>2006</v>
      </c>
      <c r="J2" s="240"/>
      <c r="K2" s="240"/>
      <c r="L2" s="240"/>
      <c r="M2" s="240"/>
      <c r="O2" s="240">
        <v>2007</v>
      </c>
      <c r="P2" s="240"/>
      <c r="Q2" s="240"/>
      <c r="R2" s="240"/>
      <c r="S2" s="240"/>
      <c r="U2" s="240">
        <v>2008</v>
      </c>
      <c r="V2" s="240"/>
      <c r="W2" s="240"/>
      <c r="X2" s="240"/>
      <c r="Y2" s="240"/>
      <c r="AA2" s="240">
        <v>2009</v>
      </c>
      <c r="AB2" s="240"/>
      <c r="AC2" s="240"/>
      <c r="AD2" s="240"/>
      <c r="AE2" s="240"/>
      <c r="AG2" s="240">
        <v>2010</v>
      </c>
      <c r="AH2" s="240"/>
      <c r="AI2" s="240"/>
      <c r="AJ2" s="240"/>
      <c r="AK2" s="240"/>
      <c r="AM2" s="240">
        <v>2011</v>
      </c>
      <c r="AN2" s="240"/>
      <c r="AO2" s="240"/>
      <c r="AP2" s="240"/>
      <c r="AQ2" s="240"/>
      <c r="AS2" s="240">
        <v>2012</v>
      </c>
      <c r="AT2" s="240"/>
      <c r="AU2" s="240"/>
      <c r="AV2" s="240"/>
      <c r="AW2" s="240"/>
      <c r="AY2" s="240">
        <v>2013</v>
      </c>
      <c r="AZ2" s="240"/>
      <c r="BA2" s="240"/>
      <c r="BB2" s="240"/>
      <c r="BC2" s="240"/>
      <c r="BE2" s="240">
        <v>2014</v>
      </c>
      <c r="BF2" s="240"/>
      <c r="BG2" s="240"/>
      <c r="BH2" s="240"/>
      <c r="BI2" s="240"/>
      <c r="BK2" s="240">
        <v>2015</v>
      </c>
      <c r="BL2" s="240"/>
      <c r="BM2" s="240"/>
      <c r="BN2" s="240"/>
      <c r="BO2" s="240"/>
      <c r="BQ2" s="240">
        <v>2016</v>
      </c>
      <c r="BR2" s="240"/>
      <c r="BS2" s="240"/>
      <c r="BT2" s="240"/>
      <c r="BU2" s="240"/>
      <c r="BW2" s="240">
        <v>2017</v>
      </c>
      <c r="BX2" s="240"/>
      <c r="BY2" s="240"/>
      <c r="BZ2" s="240"/>
      <c r="CA2" s="240"/>
      <c r="CC2" s="240">
        <v>2018</v>
      </c>
      <c r="CD2" s="240"/>
      <c r="CE2" s="240"/>
      <c r="CF2" s="240"/>
      <c r="CG2" s="240"/>
      <c r="CI2" s="240">
        <v>2019</v>
      </c>
      <c r="CJ2" s="240"/>
      <c r="CK2" s="240"/>
      <c r="CL2" s="240"/>
      <c r="CM2" s="240"/>
    </row>
    <row r="3" spans="1:221" s="170" customFormat="1" x14ac:dyDescent="0.2">
      <c r="A3" s="169" t="s">
        <v>113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151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>
        <v>342</v>
      </c>
      <c r="CM6" s="75">
        <f>SUM(CI6:CL6)</f>
        <v>1268.2</v>
      </c>
    </row>
    <row r="7" spans="1:221" x14ac:dyDescent="0.2">
      <c r="A7" s="2" t="s">
        <v>172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152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>
        <v>25.5</v>
      </c>
      <c r="CM10" s="75">
        <f>SUM(CI10:CL10)</f>
        <v>74.599999999999994</v>
      </c>
    </row>
    <row r="11" spans="1:221" hidden="1" x14ac:dyDescent="0.2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54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>
        <v>-0.1</v>
      </c>
      <c r="CM12" s="75">
        <f>SUM(CI12:CL12)</f>
        <v>-0.4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>
        <f>SUM(CL5:CL12)</f>
        <v>367.4</v>
      </c>
      <c r="CM13" s="124">
        <f>SUM(CM5:CM12)</f>
        <v>1342.3999999999999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156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>
        <v>262.2</v>
      </c>
      <c r="CM15" s="75">
        <f>SUM(CI15:CL15)</f>
        <v>945</v>
      </c>
      <c r="HH15" s="27"/>
    </row>
    <row r="16" spans="1:221" s="49" customFormat="1" ht="18.75" customHeight="1" x14ac:dyDescent="0.2">
      <c r="A16" s="49" t="s">
        <v>86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>
        <f>+CL13-CL6+CL15</f>
        <v>287.59999999999997</v>
      </c>
      <c r="CM16" s="80">
        <f>SUM(CI16:CL16)</f>
        <v>1019.2</v>
      </c>
      <c r="HM16" s="50" t="s">
        <v>51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89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153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>
        <v>1.2</v>
      </c>
      <c r="CM19" s="75">
        <f>SUM(CI19:CL19)</f>
        <v>15.1</v>
      </c>
    </row>
    <row r="20" spans="1:91" x14ac:dyDescent="0.2">
      <c r="A20" s="2" t="s">
        <v>172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79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152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>
        <v>7.2</v>
      </c>
      <c r="CM22" s="75">
        <f>SUM(CI22:CL22)</f>
        <v>14.600000000000001</v>
      </c>
    </row>
    <row r="23" spans="1:91" x14ac:dyDescent="0.2">
      <c r="A23" s="2" t="s">
        <v>54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>
        <f>SUM(CL18:CL23)</f>
        <v>8.4</v>
      </c>
      <c r="CM24" s="80">
        <f>SUM(CM18:CM23)</f>
        <v>29.700000000000003</v>
      </c>
    </row>
    <row r="25" spans="1:91" s="60" customFormat="1" ht="18.75" customHeight="1" x14ac:dyDescent="0.2">
      <c r="A25" s="63" t="s">
        <v>87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>
        <f>+CL24/CL16</f>
        <v>2.9207232267037558E-2</v>
      </c>
      <c r="CM25" s="68">
        <f>+CM24/CM16</f>
        <v>2.9140502354788069E-2</v>
      </c>
    </row>
    <row r="26" spans="1:91" ht="18.75" customHeight="1" x14ac:dyDescent="0.2">
      <c r="A26" s="5" t="s">
        <v>155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>
        <f>+CL19/CL15</f>
        <v>4.5766590389016018E-3</v>
      </c>
      <c r="CM26" s="64">
        <f>+CM19/CM15</f>
        <v>1.5978835978835978E-2</v>
      </c>
    </row>
    <row r="27" spans="1:91" ht="18.75" customHeight="1" x14ac:dyDescent="0.2">
      <c r="A27" s="5" t="s">
        <v>88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157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144</v>
      </c>
      <c r="BR28" s="150" t="s">
        <v>144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144</v>
      </c>
      <c r="BX28" s="28">
        <f>+BX22/BX10</f>
        <v>6.25E-2</v>
      </c>
      <c r="BY28" s="150" t="s">
        <v>144</v>
      </c>
      <c r="BZ28" s="28">
        <f>+BZ22/BZ10</f>
        <v>0.27142857142857146</v>
      </c>
      <c r="CA28" s="197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7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>
        <f>+CL22/CL10</f>
        <v>0.28235294117647058</v>
      </c>
      <c r="CM28" s="197">
        <f>+CM22/CM10</f>
        <v>0.19571045576407511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154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>
        <v>-5</v>
      </c>
      <c r="CM31" s="75">
        <f>SUM(CI31:CL31)</f>
        <v>3.0999999999999996</v>
      </c>
    </row>
    <row r="32" spans="1:91" x14ac:dyDescent="0.2">
      <c r="A32" s="2" t="s">
        <v>90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51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79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152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>
        <v>7.2</v>
      </c>
      <c r="CM35" s="75">
        <f t="shared" si="30"/>
        <v>14.600000000000001</v>
      </c>
    </row>
    <row r="36" spans="1:216" hidden="1" x14ac:dyDescent="0.2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54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>
        <f>SUM(CL30:CL37)</f>
        <v>2.2000000000000002</v>
      </c>
      <c r="CM38" s="124">
        <f>SUM(CM30:CM37)</f>
        <v>17.700000000000003</v>
      </c>
    </row>
    <row r="39" spans="1:216" s="63" customFormat="1" ht="18.75" customHeight="1" x14ac:dyDescent="0.2">
      <c r="A39" s="63" t="s">
        <v>35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>
        <f>CL38/CL13</f>
        <v>5.9880239520958096E-3</v>
      </c>
      <c r="CM39" s="68">
        <f>CM38/CM13</f>
        <v>1.3185339690107274E-2</v>
      </c>
    </row>
    <row r="40" spans="1:216" s="5" customFormat="1" ht="18.75" customHeight="1" x14ac:dyDescent="0.2">
      <c r="A40" s="5" t="s">
        <v>158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>
        <f>CL31/CL6</f>
        <v>-1.4619883040935672E-2</v>
      </c>
      <c r="CM40" s="64">
        <f>CM31/CM6</f>
        <v>2.444409399148399E-3</v>
      </c>
      <c r="HH40" s="27"/>
    </row>
    <row r="41" spans="1:216" s="5" customFormat="1" ht="18.75" customHeight="1" x14ac:dyDescent="0.2">
      <c r="A41" s="5" t="s">
        <v>159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>
        <f>+CL31/CL15</f>
        <v>-1.9069412662090009E-2</v>
      </c>
      <c r="CM41" s="64">
        <f>CM31/CM15</f>
        <v>3.2804232804232798E-3</v>
      </c>
      <c r="HH41" s="27"/>
    </row>
    <row r="42" spans="1:216" s="5" customFormat="1" ht="18.75" customHeight="1" x14ac:dyDescent="0.2">
      <c r="A42" s="5" t="s">
        <v>88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75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29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30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31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74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34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32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44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55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56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36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154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>
        <v>-45.7</v>
      </c>
      <c r="CM61" s="75">
        <f>SUM(CI61:CL61)</f>
        <v>-99.3</v>
      </c>
    </row>
    <row r="62" spans="1:216" x14ac:dyDescent="0.2">
      <c r="A62" s="2" t="s">
        <v>90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79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152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>
        <v>3.3</v>
      </c>
      <c r="CM65" s="75">
        <f t="shared" si="45"/>
        <v>4</v>
      </c>
    </row>
    <row r="66" spans="1:216" hidden="1" x14ac:dyDescent="0.2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54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>
        <f>SUM(CL60:CL67)</f>
        <v>-42.400000000000006</v>
      </c>
      <c r="CM68" s="124">
        <f>SUM(CM60:CM67)</f>
        <v>-95.3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33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153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>
        <v>941.6</v>
      </c>
      <c r="CM71" s="141"/>
    </row>
    <row r="72" spans="1:216" x14ac:dyDescent="0.2">
      <c r="A72" s="2" t="s">
        <v>90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80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152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>
        <v>104.4</v>
      </c>
      <c r="CM75" s="88"/>
    </row>
    <row r="76" spans="1:216" hidden="1" x14ac:dyDescent="0.2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54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>
        <f>SUM(CL70:CL77)</f>
        <v>1046</v>
      </c>
      <c r="CM78" s="124"/>
    </row>
    <row r="79" spans="1:216" s="63" customFormat="1" ht="18.75" customHeight="1" x14ac:dyDescent="0.2">
      <c r="A79" s="63" t="s">
        <v>53</v>
      </c>
      <c r="C79" s="67"/>
      <c r="D79" s="67"/>
      <c r="E79" s="67"/>
      <c r="F79" s="67">
        <v>0.14695099596724917</v>
      </c>
      <c r="G79" s="68"/>
      <c r="I79" s="67">
        <f>(D68+E68+F68+I68+Valuation!H20+Valuation!H21)/AVERAGE(C78:I78)</f>
        <v>0.15243727392777176</v>
      </c>
      <c r="J79" s="67">
        <f>(E68+F68+I68+J68+Valuation!I20+Valuation!I21)/AVERAGE(D78:J78)</f>
        <v>0.165809981760902</v>
      </c>
      <c r="K79" s="67">
        <f>(F68+I68+J68+K68+Valuation!J20+Valuation!J21)/AVERAGE(E78:K78)</f>
        <v>0.17703632065334191</v>
      </c>
      <c r="L79" s="67">
        <f>(M68+Valuation!K20+Valuation!K21)/(AVERAGE(F78:L78))</f>
        <v>0.18741421180445578</v>
      </c>
      <c r="M79" s="68"/>
      <c r="O79" s="67">
        <f>(J68+K68+L68+O68+Valuation!M20+Valuation!M21)/AVERAGE(I78:O78)</f>
        <v>0.19103112553473967</v>
      </c>
      <c r="P79" s="67">
        <f>(K68+L68+O68+P68+Valuation!N20+Valuation!N21)/AVERAGE(J78:P78)</f>
        <v>0.20670158038652273</v>
      </c>
      <c r="Q79" s="67">
        <f>(L68+O68+P68+Q68+Valuation!O20+Valuation!O21)/AVERAGE(K78:Q78)</f>
        <v>0.20343541250975974</v>
      </c>
      <c r="R79" s="67">
        <f>(S68+Valuation!P20+Valuation!P21)/(AVERAGE(L78:R78))</f>
        <v>0.21950111505740483</v>
      </c>
      <c r="S79" s="68"/>
      <c r="U79" s="67">
        <f>(P68+Q68+R68+U68+Valuation!R20+Valuation!R21)/AVERAGE(O78:U78)</f>
        <v>0.21134893748075151</v>
      </c>
      <c r="V79" s="67">
        <f>(Q68+R68+U68+V68+Valuation!S20+Valuation!S21)/AVERAGE(P78:V78)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>
        <v>-6.2E-2</v>
      </c>
      <c r="CM79" s="68"/>
    </row>
    <row r="80" spans="1:216" s="5" customFormat="1" ht="18.75" customHeight="1" x14ac:dyDescent="0.2">
      <c r="A80" s="5" t="s">
        <v>160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(S61+Valuation!P20+Valuation!P19)/(AVERAGE(L71:R71))</f>
        <v>0.23615406241214507</v>
      </c>
      <c r="S80" s="64"/>
      <c r="U80" s="28">
        <f>(P61+Q61+R61+U61+Valuation!R20)/AVERAGE(O71:U71)</f>
        <v>0.21296911325141146</v>
      </c>
      <c r="V80" s="28">
        <f>(Q61+R61+U61+V61+Valuation!S20)/AVERAGE(P71:V71)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>
        <v>-7.1999999999999995E-2</v>
      </c>
      <c r="CM80" s="64"/>
      <c r="HH80" s="27"/>
    </row>
    <row r="81" spans="1:91" s="177" customFormat="1" ht="18.75" customHeight="1" x14ac:dyDescent="0.2">
      <c r="A81" s="177" t="s">
        <v>91</v>
      </c>
      <c r="C81" s="178"/>
      <c r="D81" s="178"/>
      <c r="E81" s="178"/>
      <c r="F81" s="178">
        <v>0.14803516956755788</v>
      </c>
      <c r="G81" s="179"/>
      <c r="I81" s="178">
        <f>(D62+E62+F62+I62+Valuation!H20+Valuation!H21)/AVERAGE(C72:I72)</f>
        <v>0.14395229982964225</v>
      </c>
      <c r="J81" s="178">
        <f>(E62+F62+I62+J62+Valuation!I20+Valuation!I21)/AVERAGE(D72:J72)</f>
        <v>0.14823451032644905</v>
      </c>
      <c r="K81" s="178">
        <f>(F62+I62+J62+K62+Valuation!J20+Valuation!J21)/AVERAGE(E72:K72)</f>
        <v>0.15078507933870566</v>
      </c>
      <c r="L81" s="178">
        <f>(M62+Valuation!K21+Valuation!K20)/(AVERAGE(F72:L72))</f>
        <v>0.16604400166044003</v>
      </c>
      <c r="M81" s="179"/>
      <c r="O81" s="178">
        <f>(J62+K62+L62+O62+Valuation!M20+Valuation!M21)/AVERAGE(I72:O72)</f>
        <v>0.18078297730861939</v>
      </c>
      <c r="P81" s="178">
        <f>(K62+L62+O62+P62+Valuation!N20+Valuation!N21)/AVERAGE(J72:P72)</f>
        <v>0.18875838926174496</v>
      </c>
      <c r="Q81" s="178">
        <f>(L62+O62+P62+Q62+Valuation!O20+Valuation!O21)/AVERAGE(K72:Q72)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139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163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166</v>
      </c>
      <c r="AQ84" s="3"/>
      <c r="BW84" s="147" t="s">
        <v>164</v>
      </c>
      <c r="CC84" s="147"/>
      <c r="CI84" s="147"/>
    </row>
    <row r="85" spans="1:91" ht="11.1" customHeight="1" x14ac:dyDescent="0.2">
      <c r="A85" s="148" t="s">
        <v>167</v>
      </c>
      <c r="AQ85" s="3"/>
      <c r="BK85" s="7"/>
      <c r="BL85" s="10"/>
      <c r="BQ85" s="7"/>
      <c r="BR85" s="7"/>
      <c r="BW85" s="154" t="s">
        <v>165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O4" sqref="O4"/>
      <selection pane="topRight" activeCell="O4" sqref="O4"/>
      <selection pane="bottomLeft" activeCell="O4" sqref="O4"/>
      <selection pane="bottomRight" activeCell="BU1" sqref="BU1:BX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241"/>
      <c r="D1" s="241"/>
      <c r="E1" s="241"/>
      <c r="F1" s="241"/>
      <c r="H1" s="241"/>
      <c r="I1" s="241"/>
      <c r="J1" s="241"/>
      <c r="K1" s="241"/>
      <c r="M1" s="241"/>
      <c r="N1" s="241"/>
      <c r="O1" s="241"/>
      <c r="P1" s="241"/>
      <c r="R1" s="241"/>
      <c r="S1" s="241"/>
      <c r="T1" s="241"/>
      <c r="U1" s="241"/>
      <c r="W1" s="241"/>
      <c r="X1" s="241"/>
      <c r="Y1" s="241"/>
      <c r="Z1" s="241"/>
      <c r="AB1" s="241"/>
      <c r="AC1" s="241"/>
      <c r="AD1" s="241"/>
      <c r="AE1" s="241"/>
      <c r="AG1" s="241"/>
      <c r="AH1" s="241"/>
      <c r="AI1" s="241"/>
      <c r="AJ1" s="241"/>
      <c r="AL1" s="241"/>
      <c r="AM1" s="241"/>
      <c r="AN1" s="241"/>
      <c r="AO1" s="241"/>
      <c r="AQ1" s="241"/>
      <c r="AR1" s="241"/>
      <c r="AS1" s="241"/>
      <c r="AT1" s="241"/>
      <c r="AV1" s="241"/>
      <c r="AW1" s="241"/>
      <c r="AX1" s="241"/>
      <c r="AY1" s="241"/>
      <c r="BA1" s="241"/>
      <c r="BB1" s="241"/>
      <c r="BC1" s="241"/>
      <c r="BD1" s="241"/>
      <c r="BF1" s="241"/>
      <c r="BG1" s="241"/>
      <c r="BH1" s="241"/>
      <c r="BI1" s="241"/>
      <c r="BK1" s="242" t="s">
        <v>175</v>
      </c>
      <c r="BL1" s="242"/>
      <c r="BM1" s="242"/>
      <c r="BN1" s="242"/>
      <c r="BP1" s="242"/>
      <c r="BQ1" s="242"/>
      <c r="BR1" s="242"/>
      <c r="BS1" s="242"/>
      <c r="BU1" s="242"/>
      <c r="BV1" s="242"/>
      <c r="BW1" s="242"/>
      <c r="BX1" s="242"/>
    </row>
    <row r="2" spans="1:76" x14ac:dyDescent="0.2">
      <c r="A2" s="1" t="s">
        <v>162</v>
      </c>
      <c r="C2" s="240">
        <v>2005</v>
      </c>
      <c r="D2" s="240"/>
      <c r="E2" s="240"/>
      <c r="F2" s="240"/>
      <c r="H2" s="240">
        <v>2006</v>
      </c>
      <c r="I2" s="240"/>
      <c r="J2" s="240"/>
      <c r="K2" s="240"/>
      <c r="M2" s="240">
        <v>2007</v>
      </c>
      <c r="N2" s="240"/>
      <c r="O2" s="240"/>
      <c r="P2" s="240"/>
      <c r="R2" s="240">
        <v>2008</v>
      </c>
      <c r="S2" s="240"/>
      <c r="T2" s="240"/>
      <c r="U2" s="240"/>
      <c r="W2" s="240">
        <v>2009</v>
      </c>
      <c r="X2" s="240"/>
      <c r="Y2" s="240"/>
      <c r="Z2" s="240"/>
      <c r="AB2" s="240">
        <v>2010</v>
      </c>
      <c r="AC2" s="240"/>
      <c r="AD2" s="240"/>
      <c r="AE2" s="240"/>
      <c r="AG2" s="240">
        <v>2011</v>
      </c>
      <c r="AH2" s="240"/>
      <c r="AI2" s="240"/>
      <c r="AJ2" s="240"/>
      <c r="AL2" s="240">
        <v>2012</v>
      </c>
      <c r="AM2" s="240"/>
      <c r="AN2" s="240"/>
      <c r="AO2" s="240"/>
      <c r="AQ2" s="240">
        <v>2013</v>
      </c>
      <c r="AR2" s="240"/>
      <c r="AS2" s="240"/>
      <c r="AT2" s="240"/>
      <c r="AV2" s="240">
        <v>2014</v>
      </c>
      <c r="AW2" s="240"/>
      <c r="AX2" s="240"/>
      <c r="AY2" s="240"/>
      <c r="BA2" s="240">
        <v>2015</v>
      </c>
      <c r="BB2" s="240"/>
      <c r="BC2" s="240"/>
      <c r="BD2" s="240"/>
      <c r="BF2" s="240">
        <v>2016</v>
      </c>
      <c r="BG2" s="240"/>
      <c r="BH2" s="240"/>
      <c r="BI2" s="240"/>
      <c r="BK2" s="240">
        <v>2017</v>
      </c>
      <c r="BL2" s="240"/>
      <c r="BM2" s="240"/>
      <c r="BN2" s="240"/>
      <c r="BP2" s="240">
        <v>2018</v>
      </c>
      <c r="BQ2" s="240"/>
      <c r="BR2" s="240"/>
      <c r="BS2" s="240"/>
      <c r="BU2" s="240">
        <v>2019</v>
      </c>
      <c r="BV2" s="240"/>
      <c r="BW2" s="240"/>
      <c r="BX2" s="240"/>
    </row>
    <row r="3" spans="1:76" s="170" customFormat="1" x14ac:dyDescent="0.2">
      <c r="A3" s="169" t="s">
        <v>114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Highlights'!A43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>
        <v>27260</v>
      </c>
    </row>
    <row r="6" spans="1:76" x14ac:dyDescent="0.2">
      <c r="A6" s="2" t="s">
        <v>37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38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9">
        <f>BX5-BX6</f>
        <v>27260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Highlights'!A48</f>
        <v>Market price, DKK, per share</v>
      </c>
      <c r="C9" s="7">
        <f>' Financial Highlights'!C48</f>
        <v>198</v>
      </c>
      <c r="D9" s="40">
        <f>' Financial Highlights'!D48</f>
        <v>229</v>
      </c>
      <c r="E9" s="7">
        <f>' Financial Highlights'!E48</f>
        <v>262</v>
      </c>
      <c r="F9" s="40">
        <f>' Financial Highlights'!F48</f>
        <v>289</v>
      </c>
      <c r="G9" s="7"/>
      <c r="H9" s="7">
        <f>' Financial Highlights'!I48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>
        <v>161</v>
      </c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110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>
        <f>(BX7*BX9/1000)/7.46</f>
        <v>588.31903485254691</v>
      </c>
    </row>
    <row r="12" spans="1:76" x14ac:dyDescent="0.2">
      <c r="A12" s="2" t="s">
        <v>185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>
        <v>152.4</v>
      </c>
    </row>
    <row r="13" spans="1:76" x14ac:dyDescent="0.2">
      <c r="A13" s="2" t="s">
        <v>168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>
        <v>0</v>
      </c>
    </row>
    <row r="14" spans="1:76" x14ac:dyDescent="0.2">
      <c r="A14" s="2" t="s">
        <v>111</v>
      </c>
      <c r="C14" s="31">
        <f>-' Financial Highlights'!C32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Highlights'!I32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Highlights'!AT32)</f>
        <v>361.34228187919462</v>
      </c>
      <c r="AN14" s="85">
        <f>(-' Financial Highlights'!AU32)</f>
        <v>369.26174496644296</v>
      </c>
      <c r="AO14" s="84">
        <f>(-' Financial Highlights'!AV32)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>
        <v>242.2</v>
      </c>
    </row>
    <row r="15" spans="1:76" s="56" customFormat="1" x14ac:dyDescent="0.2">
      <c r="A15" s="56" t="s">
        <v>115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>
        <f>SUM(BX11:BX14)</f>
        <v>982.91903485254693</v>
      </c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39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'Segment Data'!D38+'Segment Data'!E38+'Segment Data'!F38+'Segment Data'!I38</f>
        <v>102.5503355704698</v>
      </c>
      <c r="I17" s="84">
        <f>'Segment Data'!J38+'Segment Data'!I38+'Segment Data'!F38+'Segment Data'!E38</f>
        <v>129.26174496644296</v>
      </c>
      <c r="J17" s="31">
        <f>'Segment Data'!K38+'Segment Data'!J38+'Segment Data'!I38+'Segment Data'!F38</f>
        <v>137.98657718120805</v>
      </c>
      <c r="K17" s="84">
        <f>'Segment Data'!M38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+'Segment Data'!BK38+'Segment Data'!BH38+'Segment Data'!BG38+'Segment Data'!BF38</f>
        <v>135.57046979865771</v>
      </c>
      <c r="BB17" s="84">
        <f>+'Segment Data'!BL38+'Segment Data'!BK38+'Segment Data'!BH38+'Segment Data'!BG38</f>
        <v>160.40268456375838</v>
      </c>
      <c r="BC17" s="85">
        <f>+'Segment Data'!BM38+'Segment Data'!BL38+'Segment Data'!BK38+'Segment Data'!BH38</f>
        <v>162.28187919463087</v>
      </c>
      <c r="BD17" s="84">
        <f>+'Segment Data'!BN38+'Segment Data'!BM38+'Segment Data'!BL38+'Segment Data'!BK38</f>
        <v>152.03154362416106</v>
      </c>
      <c r="BE17" s="31"/>
      <c r="BF17" s="85">
        <f>+'Segment Data'!BQ38+'Segment Data'!BN38+'Segment Data'!BM38+'Segment Data'!BL38</f>
        <v>155.04663758389262</v>
      </c>
      <c r="BG17" s="84">
        <f>+'Segment Data'!BR38+'Segment Data'!BQ38+'Segment Data'!BN38+'Segment Data'!BM38</f>
        <v>151.21576510067115</v>
      </c>
      <c r="BH17" s="85">
        <f>+'Segment Data'!BS38+'Segment Data'!BR38+'Segment Data'!BQ38+'Segment Data'!BN38+0.2</f>
        <v>125.40100000000001</v>
      </c>
      <c r="BI17" s="84">
        <f>+'Segment Data'!BS38+'Segment Data'!BR38+'Segment Data'!BQ38+'Segment Data'!BT38</f>
        <v>124.70100000000001</v>
      </c>
      <c r="BJ17" s="31"/>
      <c r="BK17" s="85">
        <f>+'Segment Data'!BR38+'Segment Data'!BS38+'Segment Data'!BT38+'Segment Data'!BW38</f>
        <v>120.80000000000001</v>
      </c>
      <c r="BL17" s="84">
        <f>+'Segment Data'!BX38+'Segment Data'!BW38+'Segment Data'!BT38+'Segment Data'!BS38</f>
        <v>141.69999999999999</v>
      </c>
      <c r="BM17" s="85">
        <f>+'Segment Data'!BY38+'Segment Data'!BX38+'Segment Data'!BW38+'Segment Data'!BT38</f>
        <v>190.10000000000002</v>
      </c>
      <c r="BN17" s="84">
        <f>+'Segment Data'!CA38</f>
        <v>96.9</v>
      </c>
      <c r="BO17" s="31"/>
      <c r="BP17" s="85">
        <f>+'Segment Data'!CA38+'Segment Data'!CC38-'Segment Data'!BW31-'Segment Data'!BW35</f>
        <v>111.6</v>
      </c>
      <c r="BQ17" s="84">
        <f>+'Segment Data'!CA38+'Segment Data'!CC38+'Segment Data'!CD38-'Segment Data'!BW31-'Segment Data'!BW35-'Segment Data'!BX31-'Segment Data'!BX35</f>
        <v>98.700000000000017</v>
      </c>
      <c r="BR17" s="85">
        <f>+'Segment Data'!CE38+'Segment Data'!CD38+'Segment Data'!CC38+'Segment Data'!BZ38</f>
        <v>81.000000000000014</v>
      </c>
      <c r="BS17" s="84">
        <f>+'Segment Data'!CG38</f>
        <v>49.800000000000004</v>
      </c>
      <c r="BT17" s="31"/>
      <c r="BU17" s="85">
        <f>+'Segment Data'!CI38+'Segment Data'!CF38+'Segment Data'!CE38+'Segment Data'!CD38</f>
        <v>34.200000000000003</v>
      </c>
      <c r="BV17" s="84">
        <f>+'Segment Data'!CJ38+'Segment Data'!CI38+'Segment Data'!CF38+'Segment Data'!CE38</f>
        <v>18</v>
      </c>
      <c r="BW17" s="85">
        <f>+'Segment Data'!CK38+'Segment Data'!CJ38+'Segment Data'!CI38+'Segment Data'!CF38</f>
        <v>6.1000000000000014</v>
      </c>
      <c r="BX17" s="84">
        <f>+'Segment Data'!CM38</f>
        <v>17.700000000000003</v>
      </c>
    </row>
    <row r="18" spans="1:76" x14ac:dyDescent="0.2">
      <c r="A18" s="70" t="s">
        <v>76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102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40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173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>
        <f>+BX24-BX17-BX23</f>
        <v>18.399999999999999</v>
      </c>
    </row>
    <row r="22" spans="1:76" x14ac:dyDescent="0.2">
      <c r="A22" s="2" t="s">
        <v>103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94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>
        <v>-6.4</v>
      </c>
    </row>
    <row r="24" spans="1:76" s="56" customFormat="1" x14ac:dyDescent="0.2">
      <c r="A24" s="56" t="s">
        <v>77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+'Segment Data'!BS24+'Segment Data'!BR24+'Segment Data'!BQ24+'Segment Data'!BN24+0.2</f>
        <v>179.80099999999999</v>
      </c>
      <c r="BI24" s="124">
        <f>+'Segment Data'!BT24+'Segment Data'!BS24+'Segment Data'!BR24+'Segment Data'!BQ24</f>
        <v>191.70100000000002</v>
      </c>
      <c r="BJ24" s="123"/>
      <c r="BK24" s="144">
        <f>SUM(BK17:BK23)</f>
        <v>204.20000000000002</v>
      </c>
      <c r="BL24" s="124">
        <f>+'Segment Data'!BX24+'Segment Data'!BW24+'Segment Data'!BT24+'Segment Data'!BS24</f>
        <v>230.8</v>
      </c>
      <c r="BM24" s="144">
        <f>+'Segment Data'!BY24+'Segment Data'!BX24+'Segment Data'!BW24+'Segment Data'!BT24</f>
        <v>248.79999999999998</v>
      </c>
      <c r="BN24" s="124">
        <f>+'Segment Data'!CA24</f>
        <v>141.80000000000001</v>
      </c>
      <c r="BO24" s="123"/>
      <c r="BP24" s="144">
        <f>+'Segment Data'!CA24+'Segment Data'!CC24-'Segment Data'!BW19-'Segment Data'!BW22</f>
        <v>145</v>
      </c>
      <c r="BQ24" s="124">
        <f>+'Segment Data'!CA24+'Segment Data'!CC24+'Segment Data'!CD24-'Segment Data'!BW19-'Segment Data'!BW22-'Segment Data'!BX19-'Segment Data'!BX22</f>
        <v>134.5</v>
      </c>
      <c r="BR24" s="144">
        <f>+'Segment Data'!CE24+'Segment Data'!CD24+'Segment Data'!CC24+'Segment Data'!BZ24</f>
        <v>119.10000000000001</v>
      </c>
      <c r="BS24" s="124">
        <f>+'Segment Data'!CG24</f>
        <v>79.3</v>
      </c>
      <c r="BT24" s="123"/>
      <c r="BU24" s="144">
        <f>+'Segment Data'!CI24+'Segment Data'!CF24+'Segment Data'!CE24+'Segment Data'!CD24</f>
        <v>57.600000000000009</v>
      </c>
      <c r="BV24" s="124">
        <f>+'Segment Data'!CJ24+'Segment Data'!CI24+'Segment Data'!CF24+'Segment Data'!CE24</f>
        <v>37.800000000000011</v>
      </c>
      <c r="BW24" s="144">
        <f>+'Segment Data'!CK24+'Segment Data'!CJ24+'Segment Data'!CI24+'Segment Data'!CF24</f>
        <v>21.000000000000011</v>
      </c>
      <c r="BX24" s="124">
        <f>+'Segment Data'!CM24</f>
        <v>29.700000000000003</v>
      </c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41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+'Segment Data'!CA19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>
        <f>BX24-BX27</f>
        <v>15.100000000000001</v>
      </c>
    </row>
    <row r="27" spans="1:76" x14ac:dyDescent="0.2">
      <c r="A27" s="2" t="s">
        <v>42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'Segment Data'!D35+'Segment Data'!E35+'Segment Data'!F35+'Segment Data'!I35</f>
        <v>-1.7449664429530203</v>
      </c>
      <c r="I27" s="84">
        <f>'Segment Data'!J35+'Segment Data'!I35+'Segment Data'!F35+'Segment Data'!E35</f>
        <v>-2.0134228187919461</v>
      </c>
      <c r="J27" s="31">
        <f>'Segment Data'!K35+'Segment Data'!J35+'Segment Data'!I35+'Segment Data'!F35</f>
        <v>-2.8187919463087248</v>
      </c>
      <c r="K27" s="84">
        <f>'Segment Data'!M35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(+'Segment Data'!AS35+'Segment Data'!AP35+'Segment Data'!AO35+'Segment Data'!AN35)</f>
        <v>1.0738255033557047</v>
      </c>
      <c r="AM27" s="84">
        <f>('Segment Data'!AO35+'Segment Data'!AP35+'Segment Data'!AS35+'Segment Data'!AT35)</f>
        <v>0.67114093959731524</v>
      </c>
      <c r="AN27" s="31">
        <f>('Segment Data'!AP35+'Segment Data'!AS35+'Segment Data'!AT35+'Segment Data'!AU35)</f>
        <v>0.13422818791946303</v>
      </c>
      <c r="AO27" s="84">
        <f>('Segment Data'!AW35)</f>
        <v>1.2080536912751674</v>
      </c>
      <c r="AP27" s="31"/>
      <c r="AQ27" s="85">
        <f>(+'Segment Data'!AY35+'Segment Data'!AV35+'Segment Data'!AU35+'Segment Data'!AT35)</f>
        <v>0.67114093959731524</v>
      </c>
      <c r="AR27" s="84">
        <f>('Segment Data'!AU35+'Segment Data'!AV35+'Segment Data'!AY35+'Segment Data'!AZ35)</f>
        <v>1.0738255033557043</v>
      </c>
      <c r="AS27" s="31">
        <f>('Segment Data'!AV35+'Segment Data'!AY35+'Segment Data'!AZ35+'Segment Data'!BA35)</f>
        <v>1.4765100671140938</v>
      </c>
      <c r="AT27" s="84">
        <f>('Segment Data'!BC35)</f>
        <v>0.80536912751677847</v>
      </c>
      <c r="AU27" s="31"/>
      <c r="AV27" s="85">
        <f>(+'Segment Data'!BE35+'Segment Data'!BB35+'Segment Data'!BA35+'Segment Data'!AZ35)</f>
        <v>1.476510067114094</v>
      </c>
      <c r="AW27" s="84">
        <f>(+'Segment Data'!BF35+'Segment Data'!BE35+'Segment Data'!BB35+'Segment Data'!BA35)</f>
        <v>1.3422818791946309</v>
      </c>
      <c r="AX27" s="31">
        <f>('Segment Data'!BB35+'Segment Data'!BE35+'Segment Data'!BF35+'Segment Data'!BG35)</f>
        <v>1.2080536912751678</v>
      </c>
      <c r="AY27" s="84">
        <f>('Segment Data'!BE35+'Segment Data'!BF35+'Segment Data'!BG35+'Segment Data'!BH35)</f>
        <v>2.8187919463087248</v>
      </c>
      <c r="AZ27" s="31"/>
      <c r="BA27" s="85">
        <f>+'Segment Data'!BK35+'Segment Data'!BH35+'Segment Data'!BG35+'Segment Data'!BF35</f>
        <v>2.6845637583892614</v>
      </c>
      <c r="BB27" s="84">
        <f>+'Segment Data'!BL35+'Segment Data'!BK35+'Segment Data'!BH35+'Segment Data'!BG35</f>
        <v>1.879194630872483</v>
      </c>
      <c r="BC27" s="31">
        <f>+'Segment Data'!BM35+'Segment Data'!BL35+'Segment Data'!BK35+'Segment Data'!BH35</f>
        <v>3.624161073825503</v>
      </c>
      <c r="BD27" s="84">
        <f>+'Segment Data'!BO22</f>
        <v>3.6711409395973154</v>
      </c>
      <c r="BE27" s="31"/>
      <c r="BF27" s="85">
        <f>+'Segment Data'!BQ22+'Segment Data'!BN22+'Segment Data'!BM22+'Segment Data'!BL22</f>
        <v>3.5053691275167784</v>
      </c>
      <c r="BG27" s="84">
        <f>+'Segment Data'!BR22+'Segment Data'!BQ22+'Segment Data'!BN22+'Segment Data'!BM22</f>
        <v>4.2791946308724835</v>
      </c>
      <c r="BH27" s="85">
        <f>+'Segment Data'!BS22+'Segment Data'!BR22+'Segment Data'!BQ22+'Segment Data'!BN22</f>
        <v>3.3000000000000003</v>
      </c>
      <c r="BI27" s="84">
        <f>+'Segment Data'!BT22+'Segment Data'!BS22+'Segment Data'!BR22+'Segment Data'!BQ22</f>
        <v>6.3000000000000007</v>
      </c>
      <c r="BJ27" s="31"/>
      <c r="BK27" s="85">
        <f>+'Segment Data'!BW22+'Segment Data'!BT22+'Segment Data'!BS22+'Segment Data'!BR22</f>
        <v>4.5</v>
      </c>
      <c r="BL27" s="84">
        <f>+'Segment Data'!BX22+'Segment Data'!BW22+'Segment Data'!BT22+'Segment Data'!BS22</f>
        <v>5.5</v>
      </c>
      <c r="BM27" s="85">
        <f>+'Segment Data'!BY22+'Segment Data'!BX22+'Segment Data'!BW22+'Segment Data'!BT22</f>
        <v>3.8</v>
      </c>
      <c r="BN27" s="84">
        <f>+'Segment Data'!CA22</f>
        <v>3.5</v>
      </c>
      <c r="BO27" s="31"/>
      <c r="BP27" s="85">
        <f>+'Segment Data'!CC22+'Segment Data'!BY22+'Segment Data'!BX22+'Segment Data'!BZ22</f>
        <v>4.1000000000000005</v>
      </c>
      <c r="BQ27" s="84">
        <f>+'Segment Data'!CD22+'Segment Data'!CC22+'Segment Data'!BZ22+'Segment Data'!BY22</f>
        <v>4.4000000000000004</v>
      </c>
      <c r="BR27" s="85">
        <f>+'Segment Data'!CE22+'Segment Data'!CD22+'Segment Data'!CC22+'Segment Data'!BZ22</f>
        <v>6.7</v>
      </c>
      <c r="BS27" s="84">
        <f>+'Segment Data'!CG22</f>
        <v>9</v>
      </c>
      <c r="BT27" s="31"/>
      <c r="BU27" s="85">
        <f>+'Segment Data'!CI22+'Segment Data'!CF22+'Segment Data'!CE22+'Segment Data'!CD22</f>
        <v>10.1</v>
      </c>
      <c r="BV27" s="84">
        <f>+'Segment Data'!CJ22+'Segment Data'!CI22+'Segment Data'!CF22+'Segment Data'!CE22</f>
        <v>13</v>
      </c>
      <c r="BW27" s="85">
        <f>+'Segment Data'!CK22+'Segment Data'!CJ22+'Segment Data'!CI22+'Segment Data'!CF22</f>
        <v>15.399999999999999</v>
      </c>
      <c r="BX27" s="84">
        <f>+'Segment Data'!CM22</f>
        <v>14.600000000000001</v>
      </c>
    </row>
    <row r="28" spans="1:76" s="56" customFormat="1" x14ac:dyDescent="0.2">
      <c r="A28" s="56" t="s">
        <v>77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>
        <f>SUM(BX26:BX27)</f>
        <v>29.700000000000003</v>
      </c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43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104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>
        <f>BX15/BX28</f>
        <v>33.094916998402248</v>
      </c>
    </row>
    <row r="33" spans="1:76" x14ac:dyDescent="0.2">
      <c r="A33" s="2" t="s">
        <v>105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>
        <f>BX15/BX26</f>
        <v>65.093975818049458</v>
      </c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50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176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>
        <f>BX14/BX24</f>
        <v>8.154882154882154</v>
      </c>
    </row>
    <row r="37" spans="1:76" s="162" customFormat="1" x14ac:dyDescent="0.2">
      <c r="A37" s="163" t="s">
        <v>178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177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179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AB1:AE1"/>
    <mergeCell ref="AB2:AE2"/>
    <mergeCell ref="AQ1:AT1"/>
    <mergeCell ref="AQ2:AT2"/>
    <mergeCell ref="AG1:AJ1"/>
    <mergeCell ref="AG2:AJ2"/>
    <mergeCell ref="BP1:BS1"/>
    <mergeCell ref="BP2:BS2"/>
    <mergeCell ref="BK1:BN1"/>
    <mergeCell ref="BK2:BN2"/>
    <mergeCell ref="BF1:BI1"/>
    <mergeCell ref="BF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Front Page</vt:lpstr>
      <vt:lpstr> Financial Highlights</vt:lpstr>
      <vt:lpstr>Balance Sheet</vt:lpstr>
      <vt:lpstr>Cashflow</vt:lpstr>
      <vt:lpstr>Segment Data</vt:lpstr>
      <vt:lpstr>Valuation</vt:lpstr>
      <vt:lpstr>' Financial Highlights'!Print_Area</vt:lpstr>
      <vt:lpstr>'Balance Sheet'!Print_Area</vt:lpstr>
      <vt:lpstr>Cashflow!Print_Area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Nielsen, Michael Nass</cp:lastModifiedBy>
  <cp:lastPrinted>2019-05-14T13:27:52Z</cp:lastPrinted>
  <dcterms:created xsi:type="dcterms:W3CDTF">2003-02-28T10:07:39Z</dcterms:created>
  <dcterms:modified xsi:type="dcterms:W3CDTF">2020-02-26T11:44:29Z</dcterms:modified>
</cp:coreProperties>
</file>