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4035" windowWidth="8820" windowHeight="4995" tabRatio="855"/>
  </bookViews>
  <sheets>
    <sheet name="Front Page" sheetId="5" r:id="rId1"/>
    <sheet name=" Financial Highlights" sheetId="1" r:id="rId2"/>
    <sheet name="Balance Sheet" sheetId="2" r:id="rId3"/>
    <sheet name="Cashflow" sheetId="3" r:id="rId4"/>
    <sheet name="Segment Data" sheetId="4" r:id="rId5"/>
    <sheet name="Valuation" sheetId="6" r:id="rId6"/>
    <sheet name="Operational EBITDA" sheetId="7" r:id="rId7"/>
  </sheets>
  <definedNames>
    <definedName name="_xlnm.Print_Area" localSheetId="1">' Financial Highlights'!$CC$2:$CS$45</definedName>
    <definedName name="_xlnm.Print_Area" localSheetId="2">'Balance Sheet'!$BP$4:$CC$42</definedName>
    <definedName name="_xlnm.Print_Area" localSheetId="3">Cashflow!$CC$5:$CS$33</definedName>
    <definedName name="_xlnm.Print_Area" localSheetId="0">'Front Page'!$A$1:$M$25</definedName>
    <definedName name="_xlnm.Print_Area" localSheetId="6">'Operational EBITDA'!$AZ$15:$BO$43</definedName>
    <definedName name="_xlnm.Print_Area" localSheetId="4">'Segment Data'!$CC$4:$CS$85</definedName>
    <definedName name="_xlnm.Print_Area" localSheetId="5">Valuation!$BK$4:$BX$36</definedName>
    <definedName name="_xlnm.Print_Titles" localSheetId="1">' Financial Highlights'!$A:$B,' Financial Highlights'!$1:$3</definedName>
    <definedName name="_xlnm.Print_Titles" localSheetId="2">'Balance Sheet'!$A:$B,'Balance Sheet'!$1:$3</definedName>
    <definedName name="_xlnm.Print_Titles" localSheetId="3">Cashflow!$A:$B,Cashflow!$1:$4</definedName>
    <definedName name="_xlnm.Print_Titles" localSheetId="6">'Operational EBITDA'!$A:$A</definedName>
    <definedName name="_xlnm.Print_Titles" localSheetId="4">'Segment Data'!$A:$B,'Segment Data'!$1:$3</definedName>
    <definedName name="_xlnm.Print_Titles" localSheetId="5">Valuation!$A:$B,Valuation!$1:$3</definedName>
  </definedNames>
  <calcPr calcId="125725"/>
</workbook>
</file>

<file path=xl/calcChain.xml><?xml version="1.0" encoding="utf-8"?>
<calcChain xmlns="http://schemas.openxmlformats.org/spreadsheetml/2006/main">
  <c r="CP80" i="4"/>
  <c r="CP79"/>
  <c r="CP44" i="1"/>
  <c r="BP14" i="7"/>
  <c r="BP5"/>
  <c r="BP6" s="1"/>
  <c r="BP13"/>
  <c r="BP11"/>
  <c r="CA38" i="2"/>
  <c r="CP45" i="1"/>
  <c r="CP41"/>
  <c r="CP35"/>
  <c r="CP36"/>
  <c r="CP24"/>
  <c r="CP11"/>
  <c r="CP14" s="1"/>
  <c r="CP16" s="1"/>
  <c r="CP19" s="1"/>
  <c r="CP7"/>
  <c r="CA35" i="2"/>
  <c r="CA33"/>
  <c r="CA23"/>
  <c r="CA28" s="1"/>
  <c r="CA16"/>
  <c r="CA9"/>
  <c r="CA18" s="1"/>
  <c r="CP32" i="3"/>
  <c r="CP29"/>
  <c r="CP25"/>
  <c r="CP20"/>
  <c r="CP18"/>
  <c r="CP11"/>
  <c r="CP10"/>
  <c r="BV35" i="6"/>
  <c r="BV32"/>
  <c r="BV31"/>
  <c r="BV25"/>
  <c r="BV27" s="1"/>
  <c r="BV26"/>
  <c r="BV23"/>
  <c r="BV16"/>
  <c r="BV14"/>
  <c r="BV11"/>
  <c r="BV7"/>
  <c r="CP81" i="4"/>
  <c r="CP78"/>
  <c r="CP68"/>
  <c r="CP39"/>
  <c r="CP40"/>
  <c r="CP41"/>
  <c r="CP42"/>
  <c r="CP38"/>
  <c r="CP26"/>
  <c r="CP27"/>
  <c r="CP28"/>
  <c r="CP24"/>
  <c r="CP25" s="1"/>
  <c r="CP13"/>
  <c r="CP16" s="1"/>
  <c r="BU26" i="6"/>
  <c r="BZ28" i="2"/>
  <c r="CO81" i="4"/>
  <c r="CO80"/>
  <c r="CO45" i="1"/>
  <c r="CS43"/>
  <c r="CS42"/>
  <c r="CO41"/>
  <c r="CO36"/>
  <c r="CS36" s="1"/>
  <c r="CS20"/>
  <c r="CS18"/>
  <c r="CS17"/>
  <c r="CS15"/>
  <c r="CS13"/>
  <c r="CS12"/>
  <c r="CS10"/>
  <c r="CS9"/>
  <c r="CS8"/>
  <c r="BZ23" i="2"/>
  <c r="BZ16"/>
  <c r="BZ9"/>
  <c r="CS31" i="3"/>
  <c r="CS27"/>
  <c r="CS24"/>
  <c r="CS23"/>
  <c r="CS22"/>
  <c r="CO18"/>
  <c r="CS17"/>
  <c r="CS16"/>
  <c r="CS15"/>
  <c r="CS14"/>
  <c r="CS13"/>
  <c r="CO11"/>
  <c r="CS10"/>
  <c r="CS7"/>
  <c r="CO78" i="4"/>
  <c r="CO31" i="1" s="1"/>
  <c r="CO68" i="4"/>
  <c r="CS67"/>
  <c r="CS66"/>
  <c r="CS65"/>
  <c r="CS64"/>
  <c r="CS63"/>
  <c r="CS62"/>
  <c r="CS61"/>
  <c r="CO42"/>
  <c r="CO41"/>
  <c r="CO40"/>
  <c r="CO38"/>
  <c r="CS37"/>
  <c r="CS36"/>
  <c r="CS35"/>
  <c r="CS34"/>
  <c r="CS33"/>
  <c r="CS32"/>
  <c r="CS31"/>
  <c r="CO28"/>
  <c r="CO27"/>
  <c r="CO26"/>
  <c r="CO24"/>
  <c r="CS23"/>
  <c r="CS22"/>
  <c r="CS21"/>
  <c r="CS20"/>
  <c r="CS19"/>
  <c r="CS15"/>
  <c r="CO13"/>
  <c r="CO16" s="1"/>
  <c r="CO24" i="1" s="1"/>
  <c r="CS12" i="4"/>
  <c r="CS11"/>
  <c r="CS10"/>
  <c r="CS9"/>
  <c r="CS8"/>
  <c r="CS7"/>
  <c r="CS6"/>
  <c r="BU7" i="6"/>
  <c r="BU11" s="1"/>
  <c r="BU14" s="1"/>
  <c r="BT28" i="4"/>
  <c r="BS28"/>
  <c r="BR28"/>
  <c r="BQ28"/>
  <c r="BZ28"/>
  <c r="BY28"/>
  <c r="BX28"/>
  <c r="BW28"/>
  <c r="CF28"/>
  <c r="CE28"/>
  <c r="CD28"/>
  <c r="CC28"/>
  <c r="CK28"/>
  <c r="CJ28"/>
  <c r="CI28"/>
  <c r="CL28"/>
  <c r="CL27"/>
  <c r="CK27"/>
  <c r="CJ27"/>
  <c r="CI27"/>
  <c r="CL26"/>
  <c r="CK26"/>
  <c r="CJ26"/>
  <c r="CI26"/>
  <c r="CL24"/>
  <c r="CK24"/>
  <c r="CJ24"/>
  <c r="CI24"/>
  <c r="CM23"/>
  <c r="CM22"/>
  <c r="CM21"/>
  <c r="CM20"/>
  <c r="CM19"/>
  <c r="CF27"/>
  <c r="CE27"/>
  <c r="CD27"/>
  <c r="CC27"/>
  <c r="CF26"/>
  <c r="CE26"/>
  <c r="CD26"/>
  <c r="CC26"/>
  <c r="CF24"/>
  <c r="CE24"/>
  <c r="CD24"/>
  <c r="CC24"/>
  <c r="CG23"/>
  <c r="CG22"/>
  <c r="CG21"/>
  <c r="CG20"/>
  <c r="CG19"/>
  <c r="BZ27"/>
  <c r="BY27"/>
  <c r="BX27"/>
  <c r="BW27"/>
  <c r="BZ26"/>
  <c r="BY26"/>
  <c r="BX26"/>
  <c r="BW26"/>
  <c r="BZ24"/>
  <c r="BY24"/>
  <c r="BX24"/>
  <c r="BW24"/>
  <c r="CA23"/>
  <c r="CA22"/>
  <c r="CA21"/>
  <c r="CA20"/>
  <c r="CA19"/>
  <c r="BT24"/>
  <c r="BS24"/>
  <c r="BR24"/>
  <c r="BQ24"/>
  <c r="BT27"/>
  <c r="BS27"/>
  <c r="BR27"/>
  <c r="BQ27"/>
  <c r="BT26"/>
  <c r="BS26"/>
  <c r="BR26"/>
  <c r="BQ26"/>
  <c r="BU23"/>
  <c r="BU22"/>
  <c r="BU21"/>
  <c r="BU20"/>
  <c r="BU19"/>
  <c r="BL26"/>
  <c r="BM26"/>
  <c r="BN26"/>
  <c r="BL27"/>
  <c r="BM27"/>
  <c r="BN27"/>
  <c r="BK27"/>
  <c r="BK26"/>
  <c r="BO23"/>
  <c r="BN24"/>
  <c r="BM24"/>
  <c r="BL24"/>
  <c r="BK24"/>
  <c r="CP21" i="1" l="1"/>
  <c r="CA36" i="2"/>
  <c r="CA41" s="1"/>
  <c r="BP7" i="7"/>
  <c r="CS27" i="4"/>
  <c r="CO44" i="1"/>
  <c r="BZ18" i="2"/>
  <c r="CO29" i="1" s="1"/>
  <c r="CO20" i="3"/>
  <c r="CO25" s="1"/>
  <c r="CO35" i="1"/>
  <c r="CS35" s="1"/>
  <c r="CS18" i="3"/>
  <c r="CO7" i="1"/>
  <c r="CO11" s="1"/>
  <c r="CO14" s="1"/>
  <c r="CO16" s="1"/>
  <c r="CO19" s="1"/>
  <c r="CO39" i="4"/>
  <c r="CO5" i="1"/>
  <c r="CS41" i="4"/>
  <c r="CS26"/>
  <c r="CS68"/>
  <c r="CS13"/>
  <c r="CS28"/>
  <c r="CS42"/>
  <c r="CS6" i="3"/>
  <c r="CS11" s="1"/>
  <c r="CO25" i="4"/>
  <c r="CS16"/>
  <c r="CS24" i="1" s="1"/>
  <c r="CS24" i="4"/>
  <c r="CS38"/>
  <c r="CS40"/>
  <c r="BU24"/>
  <c r="CM24"/>
  <c r="CG24"/>
  <c r="CA24"/>
  <c r="BO20"/>
  <c r="BO21"/>
  <c r="BO22"/>
  <c r="BO19"/>
  <c r="CL36" i="1"/>
  <c r="CL28"/>
  <c r="CL9"/>
  <c r="CM9" s="1"/>
  <c r="BX23" i="2"/>
  <c r="BX28" s="1"/>
  <c r="CL29" i="1" s="1"/>
  <c r="BX16" i="2"/>
  <c r="BX9"/>
  <c r="CL18" i="3"/>
  <c r="CL6"/>
  <c r="CL11" s="1"/>
  <c r="BS26" i="6"/>
  <c r="CL80" i="4"/>
  <c r="CL81"/>
  <c r="CL78"/>
  <c r="CL31" i="1" s="1"/>
  <c r="CL68" i="4"/>
  <c r="CL42"/>
  <c r="CL41"/>
  <c r="CL40"/>
  <c r="CL38"/>
  <c r="CL7" i="1" s="1"/>
  <c r="CL11" s="1"/>
  <c r="CL14" s="1"/>
  <c r="CL16" s="1"/>
  <c r="CL19" s="1"/>
  <c r="CL13" i="4"/>
  <c r="CI28" i="1"/>
  <c r="CJ28"/>
  <c r="CK28"/>
  <c r="CK80" i="4"/>
  <c r="CK81"/>
  <c r="CK36" i="1"/>
  <c r="BW24" i="2"/>
  <c r="BW23"/>
  <c r="BW28" s="1"/>
  <c r="CK29" i="1" s="1"/>
  <c r="BW16" i="2"/>
  <c r="BW18" s="1"/>
  <c r="BW9"/>
  <c r="CK18" i="3"/>
  <c r="CK20" s="1"/>
  <c r="CK25" s="1"/>
  <c r="CK11"/>
  <c r="CK35" i="1" s="1"/>
  <c r="BR26" i="6"/>
  <c r="CK78" i="4"/>
  <c r="CK31" i="1" s="1"/>
  <c r="CK68" i="4"/>
  <c r="CK42"/>
  <c r="CK41"/>
  <c r="CK40"/>
  <c r="CK38"/>
  <c r="CK7" i="1" s="1"/>
  <c r="CK11" s="1"/>
  <c r="CK14" s="1"/>
  <c r="CK16" s="1"/>
  <c r="CK19" s="1"/>
  <c r="CK13" i="4"/>
  <c r="CK16" s="1"/>
  <c r="CK25" s="1"/>
  <c r="CJ80"/>
  <c r="BQ20" i="6"/>
  <c r="BV23" i="2"/>
  <c r="BV28" s="1"/>
  <c r="CJ29" i="1" s="1"/>
  <c r="BV16" i="2"/>
  <c r="BV9"/>
  <c r="CJ45" i="1"/>
  <c r="CJ36"/>
  <c r="CJ18" i="3"/>
  <c r="CJ20" s="1"/>
  <c r="CJ25" s="1"/>
  <c r="CJ11"/>
  <c r="CJ35" i="1" s="1"/>
  <c r="BQ26" i="6"/>
  <c r="CJ81" i="4"/>
  <c r="CJ78"/>
  <c r="CJ31" i="1" s="1"/>
  <c r="CJ68" i="4"/>
  <c r="CO79" s="1"/>
  <c r="CJ42"/>
  <c r="CJ41"/>
  <c r="CJ40"/>
  <c r="CJ38"/>
  <c r="CJ39" s="1"/>
  <c r="CJ13"/>
  <c r="CJ16" s="1"/>
  <c r="CJ25" s="1"/>
  <c r="CI81"/>
  <c r="CI80"/>
  <c r="CI45" i="1"/>
  <c r="CM43"/>
  <c r="CM42"/>
  <c r="CL41"/>
  <c r="CK41"/>
  <c r="CJ41"/>
  <c r="CI41"/>
  <c r="CI36"/>
  <c r="CM20"/>
  <c r="CM18"/>
  <c r="CM17"/>
  <c r="CM15"/>
  <c r="CM13"/>
  <c r="CM12"/>
  <c r="CM10"/>
  <c r="CM8"/>
  <c r="BU23" i="2"/>
  <c r="BU28" s="1"/>
  <c r="CI29" i="1" s="1"/>
  <c r="BU16" i="2"/>
  <c r="BU9"/>
  <c r="CM31" i="3"/>
  <c r="CM27"/>
  <c r="CM24"/>
  <c r="CM23"/>
  <c r="CM22"/>
  <c r="CI18"/>
  <c r="CM17"/>
  <c r="CM16"/>
  <c r="CM15"/>
  <c r="CM14"/>
  <c r="CM13"/>
  <c r="CI11"/>
  <c r="CI35" i="1" s="1"/>
  <c r="CM10" i="3"/>
  <c r="CM7"/>
  <c r="CI78" i="4"/>
  <c r="CI31" i="1" s="1"/>
  <c r="CI68" i="4"/>
  <c r="CM67"/>
  <c r="CM66"/>
  <c r="CM65"/>
  <c r="CM64"/>
  <c r="CM63"/>
  <c r="CM62"/>
  <c r="CM61"/>
  <c r="CI42"/>
  <c r="CI41"/>
  <c r="CI40"/>
  <c r="CI38"/>
  <c r="CI7" i="1" s="1"/>
  <c r="CM37" i="4"/>
  <c r="CM36"/>
  <c r="CM35"/>
  <c r="CM34"/>
  <c r="CM33"/>
  <c r="CM32"/>
  <c r="CM15"/>
  <c r="CM26" s="1"/>
  <c r="CI13"/>
  <c r="CI5" i="1" s="1"/>
  <c r="CM12" i="4"/>
  <c r="CM11"/>
  <c r="CM10"/>
  <c r="CM28" s="1"/>
  <c r="CM9"/>
  <c r="CM8"/>
  <c r="CM7"/>
  <c r="CM27" s="1"/>
  <c r="CM6"/>
  <c r="CM13" s="1"/>
  <c r="BM13" i="7" s="1"/>
  <c r="CM31" i="4"/>
  <c r="BP26" i="6"/>
  <c r="BS7"/>
  <c r="BS11" s="1"/>
  <c r="BS14" s="1"/>
  <c r="BR7"/>
  <c r="BR11" s="1"/>
  <c r="BR14" s="1"/>
  <c r="BQ7"/>
  <c r="BQ11" s="1"/>
  <c r="BQ14" s="1"/>
  <c r="BP7"/>
  <c r="BP11" s="1"/>
  <c r="BP14" s="1"/>
  <c r="CF80" i="4"/>
  <c r="CF81"/>
  <c r="CE36" i="1"/>
  <c r="CF36"/>
  <c r="CF11"/>
  <c r="CF14" s="1"/>
  <c r="CF16" s="1"/>
  <c r="CF19" s="1"/>
  <c r="CF21" s="1"/>
  <c r="CF68" i="4"/>
  <c r="BS24" i="2"/>
  <c r="BS23"/>
  <c r="BS16"/>
  <c r="BS18" s="1"/>
  <c r="BS9"/>
  <c r="CF78" i="4"/>
  <c r="CF13"/>
  <c r="CF31"/>
  <c r="CF40" s="1"/>
  <c r="CF42"/>
  <c r="CF45" i="1"/>
  <c r="CF41"/>
  <c r="CG15"/>
  <c r="CF18" i="3"/>
  <c r="CF11"/>
  <c r="CG6"/>
  <c r="CE80" i="4"/>
  <c r="BH26" i="6"/>
  <c r="BM26"/>
  <c r="CE45" i="1"/>
  <c r="CE41"/>
  <c r="CE28"/>
  <c r="BR24" i="2"/>
  <c r="BR23"/>
  <c r="BR16"/>
  <c r="BR9"/>
  <c r="BR18" s="1"/>
  <c r="CE18" i="3"/>
  <c r="CE11"/>
  <c r="CE81" i="4"/>
  <c r="CE78"/>
  <c r="CE31" i="1" s="1"/>
  <c r="CE68" i="4"/>
  <c r="CE42"/>
  <c r="CE41"/>
  <c r="CE40"/>
  <c r="CE38"/>
  <c r="CE7" i="1" s="1"/>
  <c r="CE11" s="1"/>
  <c r="CE14" s="1"/>
  <c r="CE16" s="1"/>
  <c r="CE19" s="1"/>
  <c r="CE21" s="1"/>
  <c r="CE13" i="4"/>
  <c r="CD45" i="1"/>
  <c r="CD41"/>
  <c r="BL26" i="6"/>
  <c r="CD36" i="1"/>
  <c r="BQ23" i="2"/>
  <c r="BQ28" s="1"/>
  <c r="BQ16"/>
  <c r="BQ18" s="1"/>
  <c r="BQ9"/>
  <c r="CD18" i="3"/>
  <c r="CD20" s="1"/>
  <c r="CD25" s="1"/>
  <c r="CD11"/>
  <c r="CD35" i="1" s="1"/>
  <c r="CD81" i="4"/>
  <c r="CD80"/>
  <c r="CD78"/>
  <c r="CD68"/>
  <c r="CD42"/>
  <c r="CD41"/>
  <c r="CD40"/>
  <c r="CD38"/>
  <c r="CD7" i="1" s="1"/>
  <c r="CD11" s="1"/>
  <c r="CD14" s="1"/>
  <c r="CD16" s="1"/>
  <c r="CD19" s="1"/>
  <c r="CD21" s="1"/>
  <c r="CD13" i="4"/>
  <c r="CG7"/>
  <c r="CG27" s="1"/>
  <c r="CC81"/>
  <c r="BK26" i="6"/>
  <c r="CC45" i="1"/>
  <c r="CG43"/>
  <c r="CG42"/>
  <c r="CC41"/>
  <c r="CC36"/>
  <c r="CG20"/>
  <c r="CG18"/>
  <c r="CG17"/>
  <c r="CG13"/>
  <c r="CG12"/>
  <c r="CG10"/>
  <c r="CG8"/>
  <c r="BP23" i="2"/>
  <c r="BP28" s="1"/>
  <c r="BP16"/>
  <c r="BP9"/>
  <c r="BP18" s="1"/>
  <c r="CG31" i="3"/>
  <c r="CG27"/>
  <c r="CG24"/>
  <c r="CG23"/>
  <c r="CG22"/>
  <c r="CC18"/>
  <c r="CG17"/>
  <c r="CG16"/>
  <c r="CG15"/>
  <c r="CG14"/>
  <c r="CG13"/>
  <c r="CC11"/>
  <c r="CG10"/>
  <c r="CG7"/>
  <c r="CC80" i="4"/>
  <c r="CC78"/>
  <c r="CC68"/>
  <c r="CG67"/>
  <c r="CG66"/>
  <c r="CG65"/>
  <c r="CG64"/>
  <c r="CG63"/>
  <c r="CG62"/>
  <c r="CG61"/>
  <c r="CC42"/>
  <c r="CG37"/>
  <c r="CG36"/>
  <c r="CG35"/>
  <c r="BN26" i="6" s="1"/>
  <c r="CG34" i="4"/>
  <c r="CG33"/>
  <c r="CG32"/>
  <c r="CC41"/>
  <c r="CG15"/>
  <c r="CG26" s="1"/>
  <c r="CC13"/>
  <c r="CC16" s="1"/>
  <c r="CC25" s="1"/>
  <c r="CG12"/>
  <c r="CG11"/>
  <c r="CG10"/>
  <c r="CG28" s="1"/>
  <c r="CG9"/>
  <c r="CG8"/>
  <c r="CG6"/>
  <c r="BN7" i="6"/>
  <c r="BN11" s="1"/>
  <c r="BN14" s="1"/>
  <c r="BM7"/>
  <c r="BM11" s="1"/>
  <c r="BM14" s="1"/>
  <c r="BL7"/>
  <c r="BL11" s="1"/>
  <c r="BL14" s="1"/>
  <c r="BK7"/>
  <c r="CC44" i="1" s="1"/>
  <c r="BI13" i="6"/>
  <c r="BZ81" i="4"/>
  <c r="BZ80"/>
  <c r="BZ42"/>
  <c r="BZ41"/>
  <c r="BZ40"/>
  <c r="BN23" i="2"/>
  <c r="BN28" s="1"/>
  <c r="BW37" i="4"/>
  <c r="CA37" s="1"/>
  <c r="BW31"/>
  <c r="CA31" s="1"/>
  <c r="BB12" i="7"/>
  <c r="BM23" i="2"/>
  <c r="BM28" s="1"/>
  <c r="BY81" i="4"/>
  <c r="BY80"/>
  <c r="BY40"/>
  <c r="BY41"/>
  <c r="BY42"/>
  <c r="BH13" i="6"/>
  <c r="BA12" i="7"/>
  <c r="AZ12"/>
  <c r="AW12"/>
  <c r="AV12"/>
  <c r="AU12"/>
  <c r="AR12"/>
  <c r="AQ12"/>
  <c r="AP12"/>
  <c r="AM12"/>
  <c r="AL12"/>
  <c r="AK12"/>
  <c r="AH12"/>
  <c r="AG12"/>
  <c r="AF12"/>
  <c r="BF26" i="6"/>
  <c r="BG26"/>
  <c r="BG13"/>
  <c r="BL23" i="2"/>
  <c r="BL28" s="1"/>
  <c r="CA27" i="3"/>
  <c r="BX81" i="4"/>
  <c r="BX80"/>
  <c r="BX42"/>
  <c r="BX41"/>
  <c r="BX40"/>
  <c r="BK39" i="2"/>
  <c r="BW81" i="4"/>
  <c r="BA26" i="6"/>
  <c r="BI7"/>
  <c r="BI11" s="1"/>
  <c r="BH7"/>
  <c r="BH11" s="1"/>
  <c r="BG7"/>
  <c r="BG11" s="1"/>
  <c r="BF7"/>
  <c r="BF11" s="1"/>
  <c r="BF14" s="1"/>
  <c r="BW80" i="4"/>
  <c r="BZ78"/>
  <c r="BY78"/>
  <c r="BX78"/>
  <c r="BW78"/>
  <c r="BZ68"/>
  <c r="CE79" s="1"/>
  <c r="BY68"/>
  <c r="BX68"/>
  <c r="BW68"/>
  <c r="CA67"/>
  <c r="CA66"/>
  <c r="CA65"/>
  <c r="CA64"/>
  <c r="CA63"/>
  <c r="CA62"/>
  <c r="CA61"/>
  <c r="BW42"/>
  <c r="BW41"/>
  <c r="BZ38"/>
  <c r="BZ7" i="1" s="1"/>
  <c r="BZ11" s="1"/>
  <c r="BZ14" s="1"/>
  <c r="BZ16" s="1"/>
  <c r="BZ19" s="1"/>
  <c r="BY38" i="4"/>
  <c r="BX38"/>
  <c r="CA36"/>
  <c r="CA35"/>
  <c r="BI26" i="6" s="1"/>
  <c r="CA34" i="4"/>
  <c r="BC12" i="7" s="1"/>
  <c r="CA33" i="4"/>
  <c r="CA32"/>
  <c r="CA15"/>
  <c r="CA26" s="1"/>
  <c r="BZ13"/>
  <c r="BY13"/>
  <c r="BY5" i="1" s="1"/>
  <c r="BX13" i="4"/>
  <c r="BX39" s="1"/>
  <c r="BW13"/>
  <c r="BW5" i="1" s="1"/>
  <c r="CA12" i="4"/>
  <c r="CA11"/>
  <c r="CA10"/>
  <c r="CA28" s="1"/>
  <c r="CA9"/>
  <c r="CA8"/>
  <c r="CA7"/>
  <c r="CA6"/>
  <c r="CA31" i="3"/>
  <c r="CA24"/>
  <c r="CA23"/>
  <c r="CA22"/>
  <c r="BZ18"/>
  <c r="BY18"/>
  <c r="BY20" s="1"/>
  <c r="BY25" s="1"/>
  <c r="BX18"/>
  <c r="BW18"/>
  <c r="CA17"/>
  <c r="CA16"/>
  <c r="CA15"/>
  <c r="CA14"/>
  <c r="CA13"/>
  <c r="CA10"/>
  <c r="CA7"/>
  <c r="BK23" i="2"/>
  <c r="BK28" s="1"/>
  <c r="BN16"/>
  <c r="BM16"/>
  <c r="BM18" s="1"/>
  <c r="BL16"/>
  <c r="BL18" s="1"/>
  <c r="BK16"/>
  <c r="BK18" s="1"/>
  <c r="BN9"/>
  <c r="BN18" s="1"/>
  <c r="BM9"/>
  <c r="BL9"/>
  <c r="BK9"/>
  <c r="BW45" i="1"/>
  <c r="CA43"/>
  <c r="CA42"/>
  <c r="BW41"/>
  <c r="BZ36"/>
  <c r="BY36"/>
  <c r="BX36"/>
  <c r="BW36"/>
  <c r="BW31"/>
  <c r="CA20"/>
  <c r="CA18"/>
  <c r="CA17"/>
  <c r="CA15"/>
  <c r="CA13"/>
  <c r="CA12"/>
  <c r="CA10"/>
  <c r="CA9"/>
  <c r="CA8"/>
  <c r="BX7"/>
  <c r="BX11" s="1"/>
  <c r="BX14" s="1"/>
  <c r="BX16" s="1"/>
  <c r="BX19" s="1"/>
  <c r="BY11" i="3"/>
  <c r="BX11"/>
  <c r="BX35" i="1" s="1"/>
  <c r="BZ11" i="3"/>
  <c r="BZ35" i="1" s="1"/>
  <c r="BW11" i="3"/>
  <c r="BW35" i="1" s="1"/>
  <c r="O40" i="4"/>
  <c r="P41"/>
  <c r="Q41"/>
  <c r="R41"/>
  <c r="BT36" i="1"/>
  <c r="BT41"/>
  <c r="BT45"/>
  <c r="BT42" i="4"/>
  <c r="BT40"/>
  <c r="BT41"/>
  <c r="BT7" i="3"/>
  <c r="BT30" i="1"/>
  <c r="BK81" i="4"/>
  <c r="BS81"/>
  <c r="BS41" i="1"/>
  <c r="BR41"/>
  <c r="BQ41"/>
  <c r="BS36"/>
  <c r="BR36"/>
  <c r="BQ36"/>
  <c r="BS7" i="3"/>
  <c r="BR7"/>
  <c r="BQ7"/>
  <c r="BQ45" i="1"/>
  <c r="BR45"/>
  <c r="BS45"/>
  <c r="BC26" i="6"/>
  <c r="BS80" i="4"/>
  <c r="BS42"/>
  <c r="BS41"/>
  <c r="BS40"/>
  <c r="BR81"/>
  <c r="BB26" i="6"/>
  <c r="BR80" i="4"/>
  <c r="BR42"/>
  <c r="BR41"/>
  <c r="BR40"/>
  <c r="BG9" i="2"/>
  <c r="BQ81" i="4"/>
  <c r="BQ80"/>
  <c r="BQ42"/>
  <c r="BQ41"/>
  <c r="BQ40"/>
  <c r="BD7" i="6"/>
  <c r="BD11" s="1"/>
  <c r="BD14" s="1"/>
  <c r="BC7"/>
  <c r="BS44" i="1" s="1"/>
  <c r="BB7" i="6"/>
  <c r="BR44" i="1" s="1"/>
  <c r="BA7" i="6"/>
  <c r="BA11" s="1"/>
  <c r="BA14" s="1"/>
  <c r="BT78" i="4"/>
  <c r="BT31" i="1" s="1"/>
  <c r="BS78" i="4"/>
  <c r="BS31" i="1" s="1"/>
  <c r="BR78" i="4"/>
  <c r="BR31" i="1" s="1"/>
  <c r="BQ78" i="4"/>
  <c r="BQ31" i="1" s="1"/>
  <c r="BT68" i="4"/>
  <c r="BS68"/>
  <c r="BR68"/>
  <c r="BQ68"/>
  <c r="BU67"/>
  <c r="BU66"/>
  <c r="BU65"/>
  <c r="BU64"/>
  <c r="BU63"/>
  <c r="BU62"/>
  <c r="BT81" s="1"/>
  <c r="BU61"/>
  <c r="BT38"/>
  <c r="BT7" i="1" s="1"/>
  <c r="BS38" i="4"/>
  <c r="BR38"/>
  <c r="BR7" i="1" s="1"/>
  <c r="BQ38" i="4"/>
  <c r="BU37"/>
  <c r="BU36"/>
  <c r="BU35"/>
  <c r="BD26" i="6" s="1"/>
  <c r="BU34" i="4"/>
  <c r="AX12" i="7" s="1"/>
  <c r="BU33" i="4"/>
  <c r="BU32"/>
  <c r="BU31"/>
  <c r="BU15"/>
  <c r="BU26" s="1"/>
  <c r="BT13"/>
  <c r="BT5" i="1" s="1"/>
  <c r="BS13" i="4"/>
  <c r="BR13"/>
  <c r="BQ13"/>
  <c r="BQ5" i="1" s="1"/>
  <c r="BU12" i="4"/>
  <c r="BU11"/>
  <c r="BU10"/>
  <c r="BU28" s="1"/>
  <c r="BU9"/>
  <c r="BU8"/>
  <c r="BU7"/>
  <c r="BU6"/>
  <c r="BU31" i="3"/>
  <c r="BU24"/>
  <c r="BU23"/>
  <c r="BU22"/>
  <c r="BT18"/>
  <c r="BS18"/>
  <c r="BR18"/>
  <c r="BQ18"/>
  <c r="BU17"/>
  <c r="BU16"/>
  <c r="BU15"/>
  <c r="BU14"/>
  <c r="BU13"/>
  <c r="BU10"/>
  <c r="BI23" i="2"/>
  <c r="BI28" s="1"/>
  <c r="BH23"/>
  <c r="BH28" s="1"/>
  <c r="BG23"/>
  <c r="BF23"/>
  <c r="BF28" s="1"/>
  <c r="BI16"/>
  <c r="BH16"/>
  <c r="BG16"/>
  <c r="BG18" s="1"/>
  <c r="BF16"/>
  <c r="BI9"/>
  <c r="BH9"/>
  <c r="BH18" s="1"/>
  <c r="BF9"/>
  <c r="BF18" s="1"/>
  <c r="BU43" i="1"/>
  <c r="BU42"/>
  <c r="BU20"/>
  <c r="BU18"/>
  <c r="BU17"/>
  <c r="BU15"/>
  <c r="BU13"/>
  <c r="BU12"/>
  <c r="BU10"/>
  <c r="BU9"/>
  <c r="BU8"/>
  <c r="BN42" i="4"/>
  <c r="BN41"/>
  <c r="BN40"/>
  <c r="BO23" i="3"/>
  <c r="BM10"/>
  <c r="BO10" s="1"/>
  <c r="BM81" i="4"/>
  <c r="BM80"/>
  <c r="BM42"/>
  <c r="BM41"/>
  <c r="BM40"/>
  <c r="BL81"/>
  <c r="BL36" i="1"/>
  <c r="BO36" s="1"/>
  <c r="BL80" i="4"/>
  <c r="BK80"/>
  <c r="BL44" i="1"/>
  <c r="BL42" i="4"/>
  <c r="BL41"/>
  <c r="BL40"/>
  <c r="BO31" i="3"/>
  <c r="BO24"/>
  <c r="BO22"/>
  <c r="BN18"/>
  <c r="BM18"/>
  <c r="BL18"/>
  <c r="BK18"/>
  <c r="BO17"/>
  <c r="BO16"/>
  <c r="BO15"/>
  <c r="BO14"/>
  <c r="BO13"/>
  <c r="BO18" s="1"/>
  <c r="BN11"/>
  <c r="BL11"/>
  <c r="BL20" s="1"/>
  <c r="BL25" s="1"/>
  <c r="BK11"/>
  <c r="BK20" s="1"/>
  <c r="BK25" s="1"/>
  <c r="BO7"/>
  <c r="BO6"/>
  <c r="BA38" i="2"/>
  <c r="BA24"/>
  <c r="BD23"/>
  <c r="BD28" s="1"/>
  <c r="BC23"/>
  <c r="BC28"/>
  <c r="BB23"/>
  <c r="BB28" s="1"/>
  <c r="BA23"/>
  <c r="BA28" s="1"/>
  <c r="BD16"/>
  <c r="BC16"/>
  <c r="BB16"/>
  <c r="BA16"/>
  <c r="BA18" s="1"/>
  <c r="BD9"/>
  <c r="BC9"/>
  <c r="BB9"/>
  <c r="BA9"/>
  <c r="BO43" i="1"/>
  <c r="BO42"/>
  <c r="BI42"/>
  <c r="AV20" i="6"/>
  <c r="AX26"/>
  <c r="AW26"/>
  <c r="AV26"/>
  <c r="AY7"/>
  <c r="BN44" i="1" s="1"/>
  <c r="AX7" i="6"/>
  <c r="BM44" i="1" s="1"/>
  <c r="AW7" i="6"/>
  <c r="AW11" s="1"/>
  <c r="AW14" s="1"/>
  <c r="AV7"/>
  <c r="AV11" s="1"/>
  <c r="AV14" s="1"/>
  <c r="BN78" i="4"/>
  <c r="BM78"/>
  <c r="BL78"/>
  <c r="BK78"/>
  <c r="BN68"/>
  <c r="BM68"/>
  <c r="BL68"/>
  <c r="BQ79" s="1"/>
  <c r="BK68"/>
  <c r="BO67"/>
  <c r="BO66"/>
  <c r="BO65"/>
  <c r="BO64"/>
  <c r="BO63"/>
  <c r="BO62"/>
  <c r="BN81" s="1"/>
  <c r="BO61"/>
  <c r="BN80" s="1"/>
  <c r="BK42"/>
  <c r="BK41"/>
  <c r="BK40"/>
  <c r="BN38"/>
  <c r="BM38"/>
  <c r="BL38"/>
  <c r="BK38"/>
  <c r="BO37"/>
  <c r="BO36"/>
  <c r="BO35"/>
  <c r="AY26" i="6" s="1"/>
  <c r="BO34" i="4"/>
  <c r="AS12" i="7" s="1"/>
  <c r="BO33" i="4"/>
  <c r="BO32"/>
  <c r="BO31"/>
  <c r="BO15"/>
  <c r="BN13"/>
  <c r="BN16" s="1"/>
  <c r="BM13"/>
  <c r="BM16" s="1"/>
  <c r="BL13"/>
  <c r="BK13"/>
  <c r="BK39" s="1"/>
  <c r="BO12"/>
  <c r="BO11"/>
  <c r="BO10"/>
  <c r="BO9"/>
  <c r="BO8"/>
  <c r="BO7"/>
  <c r="BO6"/>
  <c r="BO35" i="1"/>
  <c r="BO20"/>
  <c r="BO18"/>
  <c r="BO17"/>
  <c r="BO15"/>
  <c r="BO13"/>
  <c r="BO12"/>
  <c r="BN11"/>
  <c r="BN14" s="1"/>
  <c r="BN16" s="1"/>
  <c r="BN19" s="1"/>
  <c r="BN21" s="1"/>
  <c r="BM11"/>
  <c r="BM14" s="1"/>
  <c r="BM16" s="1"/>
  <c r="BM19" s="1"/>
  <c r="BM21" s="1"/>
  <c r="BL11"/>
  <c r="BL14" s="1"/>
  <c r="BL16" s="1"/>
  <c r="BL19" s="1"/>
  <c r="BL21" s="1"/>
  <c r="BK11"/>
  <c r="BK14" s="1"/>
  <c r="BK16" s="1"/>
  <c r="BK19" s="1"/>
  <c r="BK21" s="1"/>
  <c r="BO10"/>
  <c r="BO9"/>
  <c r="BO8"/>
  <c r="BO7"/>
  <c r="BO5"/>
  <c r="BH41"/>
  <c r="BH44" s="1"/>
  <c r="BG81" i="4"/>
  <c r="BI6" i="3"/>
  <c r="BI36" i="1"/>
  <c r="BE80" i="4"/>
  <c r="BG80"/>
  <c r="BE68"/>
  <c r="AS26" i="6"/>
  <c r="BF78" i="4"/>
  <c r="BG42"/>
  <c r="BG41"/>
  <c r="BG40"/>
  <c r="BF81"/>
  <c r="BF80"/>
  <c r="BI12"/>
  <c r="A5" i="6"/>
  <c r="C5"/>
  <c r="C7" s="1"/>
  <c r="D5"/>
  <c r="D7" s="1"/>
  <c r="E5"/>
  <c r="E7" s="1"/>
  <c r="F5"/>
  <c r="F7" s="1"/>
  <c r="H5"/>
  <c r="H7" s="1"/>
  <c r="I5"/>
  <c r="I7" s="1"/>
  <c r="J5"/>
  <c r="J7" s="1"/>
  <c r="K5"/>
  <c r="K7" s="1"/>
  <c r="M5"/>
  <c r="M7" s="1"/>
  <c r="N5"/>
  <c r="N7" s="1"/>
  <c r="O5"/>
  <c r="O7" s="1"/>
  <c r="P5"/>
  <c r="P7" s="1"/>
  <c r="R5"/>
  <c r="R7" s="1"/>
  <c r="S5"/>
  <c r="S7" s="1"/>
  <c r="T5"/>
  <c r="T7" s="1"/>
  <c r="U5"/>
  <c r="U7" s="1"/>
  <c r="W7"/>
  <c r="X7"/>
  <c r="Y7"/>
  <c r="Z7"/>
  <c r="AB7"/>
  <c r="AC7"/>
  <c r="AC11" s="1"/>
  <c r="AC14" s="1"/>
  <c r="AD7"/>
  <c r="AD11" s="1"/>
  <c r="AD14" s="1"/>
  <c r="AE7"/>
  <c r="AE11" s="1"/>
  <c r="AE14" s="1"/>
  <c r="AG7"/>
  <c r="AG11" s="1"/>
  <c r="AG14" s="1"/>
  <c r="AH7"/>
  <c r="AH11" s="1"/>
  <c r="AH14" s="1"/>
  <c r="AI7"/>
  <c r="AI11" s="1"/>
  <c r="AI14" s="1"/>
  <c r="AJ7"/>
  <c r="AJ11" s="1"/>
  <c r="AJ14" s="1"/>
  <c r="AL7"/>
  <c r="AL11" s="1"/>
  <c r="AL14" s="1"/>
  <c r="AM7"/>
  <c r="AM11" s="1"/>
  <c r="AM14" s="1"/>
  <c r="AN7"/>
  <c r="AN11" s="1"/>
  <c r="AN14" s="1"/>
  <c r="AO7"/>
  <c r="AO11" s="1"/>
  <c r="AO14" s="1"/>
  <c r="AQ7"/>
  <c r="AQ11" s="1"/>
  <c r="AQ14" s="1"/>
  <c r="AR7"/>
  <c r="AR11" s="1"/>
  <c r="AR14" s="1"/>
  <c r="AS7"/>
  <c r="AS11" s="1"/>
  <c r="AS14" s="1"/>
  <c r="AT7"/>
  <c r="AT11" s="1"/>
  <c r="AT14" s="1"/>
  <c r="A9"/>
  <c r="C9"/>
  <c r="D9"/>
  <c r="E9"/>
  <c r="F9"/>
  <c r="H9"/>
  <c r="I9"/>
  <c r="J9"/>
  <c r="K9"/>
  <c r="M9"/>
  <c r="N9"/>
  <c r="O9"/>
  <c r="P9"/>
  <c r="R9"/>
  <c r="S9"/>
  <c r="T9"/>
  <c r="U9"/>
  <c r="W9"/>
  <c r="X9"/>
  <c r="Y9"/>
  <c r="Z9"/>
  <c r="AB9"/>
  <c r="C12"/>
  <c r="D12"/>
  <c r="E12"/>
  <c r="F12"/>
  <c r="H12"/>
  <c r="I12"/>
  <c r="J12"/>
  <c r="K12"/>
  <c r="M12"/>
  <c r="N12"/>
  <c r="O12"/>
  <c r="P12"/>
  <c r="R12"/>
  <c r="S12"/>
  <c r="T12"/>
  <c r="U12"/>
  <c r="C13"/>
  <c r="D13"/>
  <c r="E13"/>
  <c r="F13"/>
  <c r="H13"/>
  <c r="I13"/>
  <c r="J13"/>
  <c r="K13"/>
  <c r="M13"/>
  <c r="N13"/>
  <c r="O13"/>
  <c r="P13"/>
  <c r="R13"/>
  <c r="S13"/>
  <c r="T13"/>
  <c r="U13"/>
  <c r="W13"/>
  <c r="AB13"/>
  <c r="AC19"/>
  <c r="AN81" i="4" s="1"/>
  <c r="AD19" i="6"/>
  <c r="AO81" i="4" s="1"/>
  <c r="J26" i="6"/>
  <c r="M26"/>
  <c r="N26"/>
  <c r="O26"/>
  <c r="R26"/>
  <c r="S26"/>
  <c r="T26"/>
  <c r="W26"/>
  <c r="X26"/>
  <c r="Y26"/>
  <c r="AB26"/>
  <c r="AC26"/>
  <c r="AD26"/>
  <c r="AG26"/>
  <c r="AH26"/>
  <c r="AI26"/>
  <c r="AL26"/>
  <c r="AM26"/>
  <c r="AN26"/>
  <c r="AQ26"/>
  <c r="AR26"/>
  <c r="G6" i="4"/>
  <c r="M6"/>
  <c r="S6"/>
  <c r="Y6"/>
  <c r="AE6"/>
  <c r="AK6"/>
  <c r="AQ6"/>
  <c r="AW6"/>
  <c r="BB6"/>
  <c r="G7"/>
  <c r="M7"/>
  <c r="S7"/>
  <c r="Y7"/>
  <c r="AE7"/>
  <c r="AK7"/>
  <c r="AQ7"/>
  <c r="AW7"/>
  <c r="BB7"/>
  <c r="G8"/>
  <c r="M8"/>
  <c r="S8"/>
  <c r="Y8"/>
  <c r="AE8"/>
  <c r="AK8"/>
  <c r="AQ8"/>
  <c r="AW8"/>
  <c r="BC8"/>
  <c r="BI8"/>
  <c r="G9"/>
  <c r="M9"/>
  <c r="S9"/>
  <c r="Y9"/>
  <c r="AE9"/>
  <c r="AK9"/>
  <c r="AQ9"/>
  <c r="AW9"/>
  <c r="BC9"/>
  <c r="BI9"/>
  <c r="G10"/>
  <c r="M10"/>
  <c r="S10"/>
  <c r="Y10"/>
  <c r="AE10"/>
  <c r="AK10"/>
  <c r="AQ10"/>
  <c r="AQ13" s="1"/>
  <c r="AW10"/>
  <c r="BB10"/>
  <c r="BC10" s="1"/>
  <c r="G11"/>
  <c r="M11"/>
  <c r="S11"/>
  <c r="Y11"/>
  <c r="AE11"/>
  <c r="AK11"/>
  <c r="AQ11"/>
  <c r="AW11"/>
  <c r="BC11"/>
  <c r="BI11"/>
  <c r="G12"/>
  <c r="M12"/>
  <c r="S12"/>
  <c r="Y12"/>
  <c r="AE12"/>
  <c r="AK12"/>
  <c r="AQ12"/>
  <c r="AW12"/>
  <c r="BC12"/>
  <c r="C13"/>
  <c r="D13"/>
  <c r="E13"/>
  <c r="F13"/>
  <c r="I13"/>
  <c r="J13"/>
  <c r="K13"/>
  <c r="L13"/>
  <c r="O13"/>
  <c r="P13"/>
  <c r="P16" s="1"/>
  <c r="P24" i="1" s="1"/>
  <c r="Q13" i="4"/>
  <c r="R13"/>
  <c r="R16" s="1"/>
  <c r="R24" i="1" s="1"/>
  <c r="U13" i="4"/>
  <c r="V13"/>
  <c r="W13"/>
  <c r="X13"/>
  <c r="AA13"/>
  <c r="AB13"/>
  <c r="AC13"/>
  <c r="AD13"/>
  <c r="AG13"/>
  <c r="AH13"/>
  <c r="AI13"/>
  <c r="AJ13"/>
  <c r="AM13"/>
  <c r="AN13"/>
  <c r="AO13"/>
  <c r="AP13"/>
  <c r="AS13"/>
  <c r="AT13"/>
  <c r="AU13"/>
  <c r="AV13"/>
  <c r="AY13"/>
  <c r="AF13" i="7" s="1"/>
  <c r="AZ13" i="4"/>
  <c r="AZ16" s="1"/>
  <c r="BA13"/>
  <c r="BE13"/>
  <c r="BE16" s="1"/>
  <c r="BE24" i="1" s="1"/>
  <c r="BF13" i="4"/>
  <c r="BG13"/>
  <c r="BG16" s="1"/>
  <c r="O15"/>
  <c r="S15" s="1"/>
  <c r="AA15"/>
  <c r="AB15"/>
  <c r="AB41" s="1"/>
  <c r="AC15"/>
  <c r="AC41" s="1"/>
  <c r="AD15"/>
  <c r="AD16" s="1"/>
  <c r="AD24" i="1" s="1"/>
  <c r="AG15" i="4"/>
  <c r="AH15"/>
  <c r="AH41" s="1"/>
  <c r="AI15"/>
  <c r="AJ15"/>
  <c r="AJ41" s="1"/>
  <c r="AM15"/>
  <c r="AM41" s="1"/>
  <c r="AN15"/>
  <c r="AN16" s="1"/>
  <c r="AO15"/>
  <c r="AP15"/>
  <c r="AP41" s="1"/>
  <c r="AS15"/>
  <c r="AT15"/>
  <c r="AU15"/>
  <c r="AU41" s="1"/>
  <c r="AV15"/>
  <c r="AV41" s="1"/>
  <c r="BC15"/>
  <c r="BI15"/>
  <c r="BF16"/>
  <c r="BF24" i="1" s="1"/>
  <c r="G31" i="4"/>
  <c r="G40" s="1"/>
  <c r="M31"/>
  <c r="S31"/>
  <c r="Y31"/>
  <c r="Y40" s="1"/>
  <c r="AE31"/>
  <c r="AE40" s="1"/>
  <c r="AK31"/>
  <c r="AQ31"/>
  <c r="AQ40" s="1"/>
  <c r="AW31"/>
  <c r="AW40" s="1"/>
  <c r="BC31"/>
  <c r="BI31"/>
  <c r="G32"/>
  <c r="M32"/>
  <c r="M42" s="1"/>
  <c r="S32"/>
  <c r="Y32"/>
  <c r="AE32"/>
  <c r="AK32"/>
  <c r="AK42" s="1"/>
  <c r="AQ32"/>
  <c r="AW32"/>
  <c r="BC32"/>
  <c r="BI32"/>
  <c r="G33"/>
  <c r="I33"/>
  <c r="S33"/>
  <c r="Y33"/>
  <c r="AE33"/>
  <c r="AK33"/>
  <c r="AQ33"/>
  <c r="AW33"/>
  <c r="BC33"/>
  <c r="BI33"/>
  <c r="G34"/>
  <c r="M34"/>
  <c r="S34"/>
  <c r="Y34"/>
  <c r="AE34"/>
  <c r="AK34"/>
  <c r="AQ34"/>
  <c r="AW34"/>
  <c r="BC34"/>
  <c r="AI12" i="7" s="1"/>
  <c r="BI34" i="4"/>
  <c r="AN12" i="7" s="1"/>
  <c r="C35" i="4"/>
  <c r="E35"/>
  <c r="I26" i="6" s="1"/>
  <c r="M35" i="4"/>
  <c r="S35"/>
  <c r="Y35"/>
  <c r="AE35"/>
  <c r="AK35"/>
  <c r="Z26" i="6" s="1"/>
  <c r="AQ35" i="4"/>
  <c r="AE26" i="6" s="1"/>
  <c r="AW35" i="4"/>
  <c r="AJ26" i="6" s="1"/>
  <c r="BC35" i="4"/>
  <c r="AO26" i="6" s="1"/>
  <c r="BI35" i="4"/>
  <c r="AT26" i="6" s="1"/>
  <c r="G36" i="4"/>
  <c r="M36"/>
  <c r="K26" i="6" s="1"/>
  <c r="S36" i="4"/>
  <c r="Y36"/>
  <c r="AE36"/>
  <c r="AK36"/>
  <c r="AQ36"/>
  <c r="AW36"/>
  <c r="BC36"/>
  <c r="BI36"/>
  <c r="C37"/>
  <c r="C38" s="1"/>
  <c r="E37"/>
  <c r="M37"/>
  <c r="S37"/>
  <c r="Y37"/>
  <c r="AE37"/>
  <c r="AK37"/>
  <c r="AQ37"/>
  <c r="AW37"/>
  <c r="BC37"/>
  <c r="BI37"/>
  <c r="D38"/>
  <c r="F38"/>
  <c r="J38"/>
  <c r="K38"/>
  <c r="K39" s="1"/>
  <c r="L38"/>
  <c r="O38"/>
  <c r="P38"/>
  <c r="Q38"/>
  <c r="R38"/>
  <c r="U38"/>
  <c r="S16" i="6" s="1"/>
  <c r="S23" s="1"/>
  <c r="V38" i="4"/>
  <c r="W38"/>
  <c r="X38"/>
  <c r="X39" s="1"/>
  <c r="AA38"/>
  <c r="AB38"/>
  <c r="AC38"/>
  <c r="AD38"/>
  <c r="AG38"/>
  <c r="AG39" s="1"/>
  <c r="AH38"/>
  <c r="AI38"/>
  <c r="AI39" s="1"/>
  <c r="AJ38"/>
  <c r="AM38"/>
  <c r="AM39" s="1"/>
  <c r="AN38"/>
  <c r="AO38"/>
  <c r="AP38"/>
  <c r="AS38"/>
  <c r="AH16" i="6" s="1"/>
  <c r="AH23" s="1"/>
  <c r="AT38" i="4"/>
  <c r="AU38"/>
  <c r="AV38"/>
  <c r="AY38"/>
  <c r="AM16" i="6" s="1"/>
  <c r="AM23" s="1"/>
  <c r="AZ38" i="4"/>
  <c r="BA38"/>
  <c r="BB38"/>
  <c r="BE38"/>
  <c r="BE39" s="1"/>
  <c r="BF38"/>
  <c r="BG38"/>
  <c r="BH38"/>
  <c r="C40"/>
  <c r="D40"/>
  <c r="E40"/>
  <c r="F40"/>
  <c r="I40"/>
  <c r="J40"/>
  <c r="K40"/>
  <c r="L40"/>
  <c r="P40"/>
  <c r="Q40"/>
  <c r="R40"/>
  <c r="U40"/>
  <c r="V40"/>
  <c r="W40"/>
  <c r="X40"/>
  <c r="AA40"/>
  <c r="AB40"/>
  <c r="AC40"/>
  <c r="AD40"/>
  <c r="AG40"/>
  <c r="AH40"/>
  <c r="AI40"/>
  <c r="AJ40"/>
  <c r="AM40"/>
  <c r="AN40"/>
  <c r="AO40"/>
  <c r="AP40"/>
  <c r="AS40"/>
  <c r="AT40"/>
  <c r="AU40"/>
  <c r="AV40"/>
  <c r="AY40"/>
  <c r="AZ40"/>
  <c r="BA40"/>
  <c r="BE40"/>
  <c r="BF40"/>
  <c r="AS41"/>
  <c r="AY41"/>
  <c r="AZ41"/>
  <c r="BA41"/>
  <c r="BB41"/>
  <c r="BE41"/>
  <c r="BF41"/>
  <c r="C42"/>
  <c r="D42"/>
  <c r="E42"/>
  <c r="F42"/>
  <c r="I42"/>
  <c r="J42"/>
  <c r="K42"/>
  <c r="L42"/>
  <c r="O42"/>
  <c r="P42"/>
  <c r="Q42"/>
  <c r="R42"/>
  <c r="U42"/>
  <c r="V42"/>
  <c r="W42"/>
  <c r="X42"/>
  <c r="AA42"/>
  <c r="AB42"/>
  <c r="AC42"/>
  <c r="AD42"/>
  <c r="AG42"/>
  <c r="AH42"/>
  <c r="AI42"/>
  <c r="AJ42"/>
  <c r="AM42"/>
  <c r="AN42"/>
  <c r="AO42"/>
  <c r="AP42"/>
  <c r="AS42"/>
  <c r="AT42"/>
  <c r="AU42"/>
  <c r="AV42"/>
  <c r="AY42"/>
  <c r="AZ42"/>
  <c r="BA42"/>
  <c r="BE42"/>
  <c r="BF42"/>
  <c r="C45"/>
  <c r="I45"/>
  <c r="J45"/>
  <c r="K45"/>
  <c r="L45"/>
  <c r="Q80" s="1"/>
  <c r="S45"/>
  <c r="Y45"/>
  <c r="G46"/>
  <c r="J46"/>
  <c r="K46"/>
  <c r="K56" s="1"/>
  <c r="S46"/>
  <c r="Y46"/>
  <c r="C47"/>
  <c r="D47"/>
  <c r="E47"/>
  <c r="F47"/>
  <c r="J47"/>
  <c r="K47"/>
  <c r="S47"/>
  <c r="Y47"/>
  <c r="C48"/>
  <c r="D48"/>
  <c r="E48"/>
  <c r="F48"/>
  <c r="I48"/>
  <c r="J48"/>
  <c r="K48"/>
  <c r="L48"/>
  <c r="S48"/>
  <c r="S52" s="1"/>
  <c r="Y48"/>
  <c r="D49"/>
  <c r="F49"/>
  <c r="M49"/>
  <c r="S49"/>
  <c r="Y49"/>
  <c r="C50"/>
  <c r="D50"/>
  <c r="E50"/>
  <c r="F50"/>
  <c r="I50"/>
  <c r="J50"/>
  <c r="K50"/>
  <c r="L50"/>
  <c r="S50"/>
  <c r="Y50"/>
  <c r="G51"/>
  <c r="M51"/>
  <c r="S51"/>
  <c r="Y51"/>
  <c r="O52"/>
  <c r="O53" s="1"/>
  <c r="P52"/>
  <c r="Q52"/>
  <c r="R52"/>
  <c r="U52"/>
  <c r="V52"/>
  <c r="W52"/>
  <c r="X52"/>
  <c r="U53"/>
  <c r="D54"/>
  <c r="E54"/>
  <c r="F54"/>
  <c r="O54"/>
  <c r="P54"/>
  <c r="Q54"/>
  <c r="R54"/>
  <c r="U54"/>
  <c r="V54"/>
  <c r="W54"/>
  <c r="X54"/>
  <c r="P55"/>
  <c r="Q55"/>
  <c r="R55"/>
  <c r="C56"/>
  <c r="D56"/>
  <c r="E56"/>
  <c r="F56"/>
  <c r="I56"/>
  <c r="L56"/>
  <c r="O56"/>
  <c r="P56"/>
  <c r="Q56"/>
  <c r="R56"/>
  <c r="U56"/>
  <c r="V56"/>
  <c r="W56"/>
  <c r="X56"/>
  <c r="G61"/>
  <c r="M61"/>
  <c r="S61"/>
  <c r="Y61"/>
  <c r="AE61"/>
  <c r="AK61"/>
  <c r="AJ80" s="1"/>
  <c r="AQ61"/>
  <c r="AP80" s="1"/>
  <c r="AW61"/>
  <c r="BC61"/>
  <c r="BB80" s="1"/>
  <c r="BI61"/>
  <c r="BH80" s="1"/>
  <c r="G62"/>
  <c r="M62"/>
  <c r="S62"/>
  <c r="Y62"/>
  <c r="AE62"/>
  <c r="AK62"/>
  <c r="AJ81" s="1"/>
  <c r="AQ62"/>
  <c r="AP81" s="1"/>
  <c r="AW62"/>
  <c r="BC62"/>
  <c r="BB81" s="1"/>
  <c r="BI62"/>
  <c r="G63"/>
  <c r="I63"/>
  <c r="L63"/>
  <c r="L47" s="1"/>
  <c r="S63"/>
  <c r="Y63"/>
  <c r="AE63"/>
  <c r="AK63"/>
  <c r="AQ63"/>
  <c r="AW63"/>
  <c r="BC63"/>
  <c r="BI63"/>
  <c r="G64"/>
  <c r="M64"/>
  <c r="S64"/>
  <c r="Y64"/>
  <c r="AE64"/>
  <c r="AK64"/>
  <c r="AQ64"/>
  <c r="AW64"/>
  <c r="BC64"/>
  <c r="BI64"/>
  <c r="C65"/>
  <c r="E65"/>
  <c r="E49" s="1"/>
  <c r="E52" s="1"/>
  <c r="L65"/>
  <c r="M65" s="1"/>
  <c r="S65"/>
  <c r="Y65"/>
  <c r="AE65"/>
  <c r="AK65"/>
  <c r="AQ65"/>
  <c r="AW65"/>
  <c r="BC65"/>
  <c r="BI65"/>
  <c r="G66"/>
  <c r="M66"/>
  <c r="S66"/>
  <c r="Y66"/>
  <c r="AE66"/>
  <c r="AK66"/>
  <c r="AQ66"/>
  <c r="AW66"/>
  <c r="BC66"/>
  <c r="BI66"/>
  <c r="C67"/>
  <c r="E67"/>
  <c r="L67"/>
  <c r="M67" s="1"/>
  <c r="S67"/>
  <c r="Y67"/>
  <c r="AE67"/>
  <c r="AK67"/>
  <c r="AQ67"/>
  <c r="AW67"/>
  <c r="BC67"/>
  <c r="BI67"/>
  <c r="D68"/>
  <c r="F68"/>
  <c r="J68"/>
  <c r="K68"/>
  <c r="O68"/>
  <c r="P68"/>
  <c r="Q68"/>
  <c r="R68"/>
  <c r="U68"/>
  <c r="V68"/>
  <c r="W68"/>
  <c r="X68"/>
  <c r="AA68"/>
  <c r="AB68"/>
  <c r="AC68"/>
  <c r="AD68"/>
  <c r="AG68"/>
  <c r="AH68"/>
  <c r="AI68"/>
  <c r="AJ68"/>
  <c r="AM68"/>
  <c r="AN68"/>
  <c r="AO68"/>
  <c r="AP68"/>
  <c r="AS68"/>
  <c r="AT68"/>
  <c r="AU68"/>
  <c r="AV68"/>
  <c r="AY68"/>
  <c r="AZ68"/>
  <c r="BA68"/>
  <c r="BB68"/>
  <c r="BF68"/>
  <c r="BG68"/>
  <c r="BH68"/>
  <c r="C78"/>
  <c r="C31" i="1" s="1"/>
  <c r="D78" i="4"/>
  <c r="E78"/>
  <c r="E31" i="1" s="1"/>
  <c r="F78" i="4"/>
  <c r="F31" i="1" s="1"/>
  <c r="I78" i="4"/>
  <c r="I31" i="1" s="1"/>
  <c r="J78" i="4"/>
  <c r="K78"/>
  <c r="K31" i="1" s="1"/>
  <c r="L78" i="4"/>
  <c r="L31" i="1" s="1"/>
  <c r="O78" i="4"/>
  <c r="P78"/>
  <c r="Q78"/>
  <c r="R78"/>
  <c r="U78"/>
  <c r="V78"/>
  <c r="W78"/>
  <c r="X79" s="1"/>
  <c r="X78"/>
  <c r="AA78"/>
  <c r="AB78"/>
  <c r="AC78"/>
  <c r="AD78"/>
  <c r="AG78"/>
  <c r="AH78"/>
  <c r="AI78"/>
  <c r="AJ78"/>
  <c r="AM78"/>
  <c r="AN78"/>
  <c r="AO78"/>
  <c r="AP78"/>
  <c r="AS78"/>
  <c r="AT78"/>
  <c r="AU78"/>
  <c r="AV78"/>
  <c r="AY78"/>
  <c r="AZ78"/>
  <c r="BA78"/>
  <c r="BB78"/>
  <c r="BE78"/>
  <c r="BG78"/>
  <c r="BH78"/>
  <c r="R80"/>
  <c r="U80"/>
  <c r="V80"/>
  <c r="W80"/>
  <c r="X80"/>
  <c r="AM80"/>
  <c r="AN80"/>
  <c r="AO80"/>
  <c r="AS80"/>
  <c r="AT80"/>
  <c r="AU80"/>
  <c r="AY80"/>
  <c r="AZ80"/>
  <c r="BA80"/>
  <c r="F81"/>
  <c r="I81"/>
  <c r="J81"/>
  <c r="Q81"/>
  <c r="R81"/>
  <c r="U81"/>
  <c r="V81"/>
  <c r="W81"/>
  <c r="X81"/>
  <c r="AM81"/>
  <c r="AS81"/>
  <c r="AT81"/>
  <c r="AU81"/>
  <c r="AY81"/>
  <c r="AZ81"/>
  <c r="BA81"/>
  <c r="BE81"/>
  <c r="C6" i="3"/>
  <c r="D6"/>
  <c r="E6"/>
  <c r="F6"/>
  <c r="I6"/>
  <c r="J6"/>
  <c r="J11" s="1"/>
  <c r="K6"/>
  <c r="L6"/>
  <c r="S6"/>
  <c r="Y6"/>
  <c r="AA6"/>
  <c r="AB6"/>
  <c r="AC6"/>
  <c r="AD6"/>
  <c r="AD11" s="1"/>
  <c r="AK6"/>
  <c r="AQ6"/>
  <c r="AW6"/>
  <c r="BC6"/>
  <c r="C7"/>
  <c r="C11" s="1"/>
  <c r="C20" s="1"/>
  <c r="C25" s="1"/>
  <c r="C32" s="1"/>
  <c r="D29" s="1"/>
  <c r="D7"/>
  <c r="E7"/>
  <c r="F7"/>
  <c r="I7"/>
  <c r="J7"/>
  <c r="K7"/>
  <c r="L7"/>
  <c r="S7"/>
  <c r="S11" s="1"/>
  <c r="Y7"/>
  <c r="AA7"/>
  <c r="AB7"/>
  <c r="AE7" s="1"/>
  <c r="AC7"/>
  <c r="AD7"/>
  <c r="AK7"/>
  <c r="AQ7"/>
  <c r="AQ11" s="1"/>
  <c r="AW7"/>
  <c r="BC7"/>
  <c r="BI7"/>
  <c r="AE8"/>
  <c r="G10"/>
  <c r="M10"/>
  <c r="S10"/>
  <c r="Y10"/>
  <c r="AE10"/>
  <c r="AK10"/>
  <c r="AQ10"/>
  <c r="AW10"/>
  <c r="BC10"/>
  <c r="BI10"/>
  <c r="O11"/>
  <c r="O20" s="1"/>
  <c r="O25" s="1"/>
  <c r="P11"/>
  <c r="Q11"/>
  <c r="R11"/>
  <c r="R20" s="1"/>
  <c r="R25" s="1"/>
  <c r="U11"/>
  <c r="V11"/>
  <c r="W11"/>
  <c r="X11"/>
  <c r="X20" s="1"/>
  <c r="X25" s="1"/>
  <c r="AG11"/>
  <c r="AH11"/>
  <c r="AI11"/>
  <c r="AJ11"/>
  <c r="AM11"/>
  <c r="AN11"/>
  <c r="AO11"/>
  <c r="AP11"/>
  <c r="AS11"/>
  <c r="AT11"/>
  <c r="AU11"/>
  <c r="AV11"/>
  <c r="AY11"/>
  <c r="AZ11"/>
  <c r="BA11"/>
  <c r="BB11"/>
  <c r="BE11"/>
  <c r="BF11"/>
  <c r="BG11"/>
  <c r="Y13"/>
  <c r="AE13"/>
  <c r="AG13"/>
  <c r="AK13" s="1"/>
  <c r="AQ13"/>
  <c r="AW13"/>
  <c r="BC13"/>
  <c r="BI13"/>
  <c r="G14"/>
  <c r="M14"/>
  <c r="S14"/>
  <c r="Y14"/>
  <c r="AE14"/>
  <c r="AK14"/>
  <c r="AQ14"/>
  <c r="AW14"/>
  <c r="BA14"/>
  <c r="BC14" s="1"/>
  <c r="BI14"/>
  <c r="G15"/>
  <c r="M15"/>
  <c r="S15"/>
  <c r="S18" s="1"/>
  <c r="Y15"/>
  <c r="AE15"/>
  <c r="AK15"/>
  <c r="AQ15"/>
  <c r="AW15"/>
  <c r="BC15"/>
  <c r="BI15"/>
  <c r="AW16"/>
  <c r="BC16"/>
  <c r="BI16"/>
  <c r="G17"/>
  <c r="M17"/>
  <c r="S17"/>
  <c r="U17"/>
  <c r="Y17" s="1"/>
  <c r="AE17"/>
  <c r="AE18" s="1"/>
  <c r="AK17"/>
  <c r="AQ17"/>
  <c r="AW17"/>
  <c r="BC17"/>
  <c r="BI17"/>
  <c r="C18"/>
  <c r="D18"/>
  <c r="E18"/>
  <c r="F18"/>
  <c r="I18"/>
  <c r="J18"/>
  <c r="K18"/>
  <c r="L18"/>
  <c r="O18"/>
  <c r="P18"/>
  <c r="Q18"/>
  <c r="R18"/>
  <c r="U18"/>
  <c r="V18"/>
  <c r="W18"/>
  <c r="X18"/>
  <c r="AA18"/>
  <c r="AB18"/>
  <c r="AC18"/>
  <c r="AD18"/>
  <c r="AH18"/>
  <c r="AI18"/>
  <c r="AJ18"/>
  <c r="AM18"/>
  <c r="AN18"/>
  <c r="AN20" s="1"/>
  <c r="AN25" s="1"/>
  <c r="AO18"/>
  <c r="AP18"/>
  <c r="AS18"/>
  <c r="AT18"/>
  <c r="AU18"/>
  <c r="AV18"/>
  <c r="AY18"/>
  <c r="AZ18"/>
  <c r="AZ20" s="1"/>
  <c r="AZ25" s="1"/>
  <c r="BB18"/>
  <c r="BB20" s="1"/>
  <c r="BB25" s="1"/>
  <c r="BE18"/>
  <c r="BE20" s="1"/>
  <c r="BE25" s="1"/>
  <c r="BF18"/>
  <c r="BG18"/>
  <c r="BH18"/>
  <c r="G22"/>
  <c r="M22"/>
  <c r="S22"/>
  <c r="Y22"/>
  <c r="AE22"/>
  <c r="AK22"/>
  <c r="AQ22"/>
  <c r="AW22"/>
  <c r="BC22"/>
  <c r="BI22"/>
  <c r="G24"/>
  <c r="M24"/>
  <c r="S24"/>
  <c r="Y24"/>
  <c r="AE24"/>
  <c r="AK24"/>
  <c r="AQ24"/>
  <c r="AW24"/>
  <c r="BC24"/>
  <c r="BI24"/>
  <c r="G29"/>
  <c r="Y29"/>
  <c r="AE30"/>
  <c r="G31"/>
  <c r="M31"/>
  <c r="S31"/>
  <c r="Y31"/>
  <c r="AE31"/>
  <c r="AK31"/>
  <c r="AQ31"/>
  <c r="AW31"/>
  <c r="BC31"/>
  <c r="BI31"/>
  <c r="C9" i="2"/>
  <c r="D9"/>
  <c r="E9"/>
  <c r="F9"/>
  <c r="H9"/>
  <c r="I9"/>
  <c r="J9"/>
  <c r="K9"/>
  <c r="M9"/>
  <c r="N9"/>
  <c r="O9"/>
  <c r="P9"/>
  <c r="R9"/>
  <c r="S9"/>
  <c r="T9"/>
  <c r="U9"/>
  <c r="W9"/>
  <c r="X9"/>
  <c r="Y9"/>
  <c r="Z9"/>
  <c r="AB9"/>
  <c r="AC9"/>
  <c r="AD9"/>
  <c r="AE9"/>
  <c r="AG9"/>
  <c r="AH9"/>
  <c r="AI9"/>
  <c r="AJ9"/>
  <c r="AL9"/>
  <c r="AM9"/>
  <c r="AN9"/>
  <c r="AO9"/>
  <c r="AQ9"/>
  <c r="AR9"/>
  <c r="AS9"/>
  <c r="AT9"/>
  <c r="AV9"/>
  <c r="AW9"/>
  <c r="AX9"/>
  <c r="AY9"/>
  <c r="C16"/>
  <c r="C18" s="1"/>
  <c r="C29" i="1" s="1"/>
  <c r="D16" i="2"/>
  <c r="D18" s="1"/>
  <c r="D29" i="1" s="1"/>
  <c r="E16" i="2"/>
  <c r="F16"/>
  <c r="H16"/>
  <c r="H18" s="1"/>
  <c r="I29" i="1" s="1"/>
  <c r="I16" i="2"/>
  <c r="J16"/>
  <c r="K16"/>
  <c r="M16"/>
  <c r="M18" s="1"/>
  <c r="N16"/>
  <c r="N18" s="1"/>
  <c r="O16"/>
  <c r="O18" s="1"/>
  <c r="P16"/>
  <c r="P18" s="1"/>
  <c r="R16"/>
  <c r="R18" s="1"/>
  <c r="S16"/>
  <c r="S18" s="1"/>
  <c r="T16"/>
  <c r="T18" s="1"/>
  <c r="U16"/>
  <c r="W16"/>
  <c r="W18" s="1"/>
  <c r="X16"/>
  <c r="X18" s="1"/>
  <c r="Y16"/>
  <c r="Y18" s="1"/>
  <c r="Z16"/>
  <c r="AB16"/>
  <c r="AB18" s="1"/>
  <c r="AC16"/>
  <c r="AD16"/>
  <c r="AD18" s="1"/>
  <c r="AE16"/>
  <c r="AG16"/>
  <c r="AG18" s="1"/>
  <c r="AH16"/>
  <c r="AH18" s="1"/>
  <c r="AI16"/>
  <c r="AI18" s="1"/>
  <c r="AJ16"/>
  <c r="AJ18" s="1"/>
  <c r="AL16"/>
  <c r="AL18" s="1"/>
  <c r="AM16"/>
  <c r="AM18" s="1"/>
  <c r="AN16"/>
  <c r="AN18" s="1"/>
  <c r="AO16"/>
  <c r="AQ16"/>
  <c r="AQ18" s="1"/>
  <c r="AR16"/>
  <c r="AR18" s="1"/>
  <c r="AS16"/>
  <c r="AS18" s="1"/>
  <c r="AT16"/>
  <c r="AT18" s="1"/>
  <c r="AV16"/>
  <c r="AV18" s="1"/>
  <c r="AW16"/>
  <c r="AX16"/>
  <c r="AX18" s="1"/>
  <c r="AY16"/>
  <c r="E18"/>
  <c r="E29" i="1" s="1"/>
  <c r="F18" i="2"/>
  <c r="F29" i="1" s="1"/>
  <c r="I18" i="2"/>
  <c r="J18"/>
  <c r="K29" i="1" s="1"/>
  <c r="K18" i="2"/>
  <c r="L29" i="1" s="1"/>
  <c r="U18" i="2"/>
  <c r="Z18"/>
  <c r="AC18"/>
  <c r="AE18"/>
  <c r="AO18"/>
  <c r="AY18"/>
  <c r="AB21"/>
  <c r="AB23"/>
  <c r="AB28" s="1"/>
  <c r="W23"/>
  <c r="X23"/>
  <c r="Y23"/>
  <c r="Y28" s="1"/>
  <c r="Z23"/>
  <c r="Z28" s="1"/>
  <c r="AC23"/>
  <c r="AD23"/>
  <c r="AD28" s="1"/>
  <c r="AE23"/>
  <c r="AE28" s="1"/>
  <c r="AG23"/>
  <c r="AG28" s="1"/>
  <c r="AH23"/>
  <c r="AH28" s="1"/>
  <c r="AI23"/>
  <c r="AI28" s="1"/>
  <c r="AJ23"/>
  <c r="AJ28" s="1"/>
  <c r="AL23"/>
  <c r="AL28" s="1"/>
  <c r="AM23"/>
  <c r="AM28"/>
  <c r="AN23"/>
  <c r="AN28" s="1"/>
  <c r="AO23"/>
  <c r="AQ23"/>
  <c r="AQ28" s="1"/>
  <c r="AR23"/>
  <c r="AR28" s="1"/>
  <c r="AS23"/>
  <c r="AS28" s="1"/>
  <c r="AT23"/>
  <c r="AV23"/>
  <c r="AV28" s="1"/>
  <c r="AW23"/>
  <c r="AX23"/>
  <c r="AX28"/>
  <c r="AY23"/>
  <c r="AY28" s="1"/>
  <c r="W24"/>
  <c r="W28" s="1"/>
  <c r="X24"/>
  <c r="Y24"/>
  <c r="AB24"/>
  <c r="AC24"/>
  <c r="AC28" s="1"/>
  <c r="AS24"/>
  <c r="AT24"/>
  <c r="AW24"/>
  <c r="AO27"/>
  <c r="AT27"/>
  <c r="AW27"/>
  <c r="M28"/>
  <c r="N28"/>
  <c r="O28"/>
  <c r="P28"/>
  <c r="R28"/>
  <c r="S28"/>
  <c r="T28"/>
  <c r="U28"/>
  <c r="X28"/>
  <c r="C35"/>
  <c r="R35"/>
  <c r="W35"/>
  <c r="R41"/>
  <c r="S33" s="1"/>
  <c r="S35" s="1"/>
  <c r="S41" s="1"/>
  <c r="T33" s="1"/>
  <c r="T35" s="1"/>
  <c r="T41" s="1"/>
  <c r="U33" s="1"/>
  <c r="U35" s="1"/>
  <c r="U41" s="1"/>
  <c r="G5" i="1"/>
  <c r="M5"/>
  <c r="S5"/>
  <c r="W5"/>
  <c r="Y5" s="1"/>
  <c r="AE5"/>
  <c r="AK5"/>
  <c r="AW5"/>
  <c r="BC5"/>
  <c r="BI5"/>
  <c r="G7"/>
  <c r="M7"/>
  <c r="S7"/>
  <c r="AE7"/>
  <c r="AK7"/>
  <c r="AK11" s="1"/>
  <c r="AK14" s="1"/>
  <c r="AK16" s="1"/>
  <c r="AK19" s="1"/>
  <c r="AK21" s="1"/>
  <c r="AQ7"/>
  <c r="AW7"/>
  <c r="BC7"/>
  <c r="BI7"/>
  <c r="C8"/>
  <c r="C11" s="1"/>
  <c r="C14" s="1"/>
  <c r="C16" s="1"/>
  <c r="C19" s="1"/>
  <c r="C21" s="1"/>
  <c r="C36" i="2" s="1"/>
  <c r="C41" s="1"/>
  <c r="D8" i="1"/>
  <c r="D11"/>
  <c r="E8"/>
  <c r="E11" s="1"/>
  <c r="F8"/>
  <c r="F11"/>
  <c r="I8"/>
  <c r="I11" s="1"/>
  <c r="I14" s="1"/>
  <c r="I16" s="1"/>
  <c r="I19" s="1"/>
  <c r="I21" s="1"/>
  <c r="H36" i="2" s="1"/>
  <c r="J8" i="1"/>
  <c r="K8"/>
  <c r="K11" s="1"/>
  <c r="K14" s="1"/>
  <c r="K16" s="1"/>
  <c r="K19" s="1"/>
  <c r="K21" s="1"/>
  <c r="J36" i="2" s="1"/>
  <c r="L8" i="1"/>
  <c r="L11" s="1"/>
  <c r="L14" s="1"/>
  <c r="L16" s="1"/>
  <c r="L19" s="1"/>
  <c r="L21" s="1"/>
  <c r="K36" i="2" s="1"/>
  <c r="O8" i="1"/>
  <c r="O11" s="1"/>
  <c r="P8"/>
  <c r="P11"/>
  <c r="Q8"/>
  <c r="Q11" s="1"/>
  <c r="Q14" s="1"/>
  <c r="Q16" s="1"/>
  <c r="Q19" s="1"/>
  <c r="Q21" s="1"/>
  <c r="R8"/>
  <c r="R11" s="1"/>
  <c r="R14" s="1"/>
  <c r="R16" s="1"/>
  <c r="U8"/>
  <c r="U11" s="1"/>
  <c r="U14" s="1"/>
  <c r="U16" s="1"/>
  <c r="U19" s="1"/>
  <c r="U21" s="1"/>
  <c r="V8"/>
  <c r="V11"/>
  <c r="V14" s="1"/>
  <c r="V16" s="1"/>
  <c r="V19" s="1"/>
  <c r="V21" s="1"/>
  <c r="W8"/>
  <c r="X8"/>
  <c r="X11" s="1"/>
  <c r="X14" s="1"/>
  <c r="X16" s="1"/>
  <c r="X19" s="1"/>
  <c r="X21" s="1"/>
  <c r="AE8"/>
  <c r="AK8"/>
  <c r="AQ8"/>
  <c r="AW8"/>
  <c r="AW11" s="1"/>
  <c r="AW14" s="1"/>
  <c r="AW16" s="1"/>
  <c r="AW19" s="1"/>
  <c r="AW21" s="1"/>
  <c r="BC8"/>
  <c r="BI8"/>
  <c r="Y9"/>
  <c r="AE9"/>
  <c r="AK9"/>
  <c r="AQ9"/>
  <c r="AW9"/>
  <c r="BC9"/>
  <c r="BC11" s="1"/>
  <c r="BC14" s="1"/>
  <c r="BC16" s="1"/>
  <c r="BC19" s="1"/>
  <c r="BC21" s="1"/>
  <c r="BI9"/>
  <c r="G10"/>
  <c r="L10"/>
  <c r="M10" s="1"/>
  <c r="S10"/>
  <c r="Y10"/>
  <c r="AE10"/>
  <c r="AE11"/>
  <c r="AK10"/>
  <c r="AQ10"/>
  <c r="AW10"/>
  <c r="BC10"/>
  <c r="BI10"/>
  <c r="AA11"/>
  <c r="AB11"/>
  <c r="AB14" s="1"/>
  <c r="AB16" s="1"/>
  <c r="AB19" s="1"/>
  <c r="AC11"/>
  <c r="AD11"/>
  <c r="AD14" s="1"/>
  <c r="AD16" s="1"/>
  <c r="AD19" s="1"/>
  <c r="AG11"/>
  <c r="AH11"/>
  <c r="AH14" s="1"/>
  <c r="AH16" s="1"/>
  <c r="AH19" s="1"/>
  <c r="AH21" s="1"/>
  <c r="AI11"/>
  <c r="AJ11"/>
  <c r="AJ14" s="1"/>
  <c r="AJ16" s="1"/>
  <c r="AJ19" s="1"/>
  <c r="AJ21" s="1"/>
  <c r="AM11"/>
  <c r="AM14" s="1"/>
  <c r="AM16" s="1"/>
  <c r="AM19" s="1"/>
  <c r="AM21" s="1"/>
  <c r="AN11"/>
  <c r="AN14" s="1"/>
  <c r="AN16" s="1"/>
  <c r="AN19" s="1"/>
  <c r="AN21" s="1"/>
  <c r="AO11"/>
  <c r="AO14" s="1"/>
  <c r="AO16" s="1"/>
  <c r="AO19" s="1"/>
  <c r="AO21" s="1"/>
  <c r="AP11"/>
  <c r="AP14" s="1"/>
  <c r="AP16" s="1"/>
  <c r="AP19" s="1"/>
  <c r="AP21" s="1"/>
  <c r="AS11"/>
  <c r="AS14" s="1"/>
  <c r="AS16" s="1"/>
  <c r="AS19" s="1"/>
  <c r="AS21" s="1"/>
  <c r="AT11"/>
  <c r="AT14"/>
  <c r="AT16" s="1"/>
  <c r="AT19" s="1"/>
  <c r="AT21" s="1"/>
  <c r="AU11"/>
  <c r="AU14" s="1"/>
  <c r="AU16" s="1"/>
  <c r="AU19" s="1"/>
  <c r="AU21" s="1"/>
  <c r="AV11"/>
  <c r="AV14"/>
  <c r="AV16" s="1"/>
  <c r="AV19" s="1"/>
  <c r="AV21" s="1"/>
  <c r="AY11"/>
  <c r="AY14" s="1"/>
  <c r="AY16" s="1"/>
  <c r="AY19" s="1"/>
  <c r="AY21" s="1"/>
  <c r="AZ11"/>
  <c r="AZ14" s="1"/>
  <c r="AZ16" s="1"/>
  <c r="AZ19" s="1"/>
  <c r="AZ21" s="1"/>
  <c r="BA11"/>
  <c r="BA14" s="1"/>
  <c r="BA16" s="1"/>
  <c r="BA19" s="1"/>
  <c r="BA21" s="1"/>
  <c r="BB11"/>
  <c r="BB14" s="1"/>
  <c r="BB16" s="1"/>
  <c r="BB19" s="1"/>
  <c r="BB21" s="1"/>
  <c r="BE11"/>
  <c r="BE14" s="1"/>
  <c r="BE16" s="1"/>
  <c r="BE19" s="1"/>
  <c r="BE21" s="1"/>
  <c r="BF11"/>
  <c r="BF14" s="1"/>
  <c r="BF16" s="1"/>
  <c r="BF19" s="1"/>
  <c r="BF21" s="1"/>
  <c r="BG11"/>
  <c r="BG14" s="1"/>
  <c r="BG16" s="1"/>
  <c r="BG19" s="1"/>
  <c r="BG21" s="1"/>
  <c r="BH11"/>
  <c r="BH14" s="1"/>
  <c r="BH16" s="1"/>
  <c r="BH19" s="1"/>
  <c r="BH21" s="1"/>
  <c r="C12"/>
  <c r="D12"/>
  <c r="G12" s="1"/>
  <c r="E12"/>
  <c r="F12"/>
  <c r="F14"/>
  <c r="I12"/>
  <c r="J12"/>
  <c r="K12"/>
  <c r="L12"/>
  <c r="M12" s="1"/>
  <c r="O12"/>
  <c r="P12"/>
  <c r="Q12"/>
  <c r="R12"/>
  <c r="Y12"/>
  <c r="AE12"/>
  <c r="AK12"/>
  <c r="AQ12"/>
  <c r="AW12"/>
  <c r="BC12"/>
  <c r="BI12"/>
  <c r="G13"/>
  <c r="L13"/>
  <c r="M13" s="1"/>
  <c r="S13"/>
  <c r="Y13"/>
  <c r="AE13"/>
  <c r="AK13"/>
  <c r="AQ13"/>
  <c r="AW13"/>
  <c r="BC13"/>
  <c r="BI13"/>
  <c r="AA14"/>
  <c r="AA16" s="1"/>
  <c r="AA19" s="1"/>
  <c r="AC14"/>
  <c r="AC16" s="1"/>
  <c r="AC19" s="1"/>
  <c r="AG14"/>
  <c r="AG16" s="1"/>
  <c r="AG19" s="1"/>
  <c r="AG21" s="1"/>
  <c r="AI14"/>
  <c r="AI16" s="1"/>
  <c r="AI19" s="1"/>
  <c r="AI21" s="1"/>
  <c r="G15"/>
  <c r="M15"/>
  <c r="S15"/>
  <c r="Y15"/>
  <c r="AE15"/>
  <c r="AK15"/>
  <c r="AQ15"/>
  <c r="AW15"/>
  <c r="BC15"/>
  <c r="BI15"/>
  <c r="AE17"/>
  <c r="AK17"/>
  <c r="AQ17"/>
  <c r="AW17"/>
  <c r="BC17"/>
  <c r="BI17"/>
  <c r="G18"/>
  <c r="M18"/>
  <c r="S18"/>
  <c r="Y18"/>
  <c r="AE18"/>
  <c r="AK18"/>
  <c r="AQ18"/>
  <c r="AW18"/>
  <c r="BC18"/>
  <c r="BI18"/>
  <c r="G20"/>
  <c r="M20"/>
  <c r="S20"/>
  <c r="Y20"/>
  <c r="AE20"/>
  <c r="AK20"/>
  <c r="AQ20"/>
  <c r="AW20"/>
  <c r="BC20"/>
  <c r="BI20"/>
  <c r="J29"/>
  <c r="D31"/>
  <c r="J31"/>
  <c r="G35"/>
  <c r="M35"/>
  <c r="S35"/>
  <c r="Y35"/>
  <c r="AE35"/>
  <c r="AK35"/>
  <c r="AQ35"/>
  <c r="AW35"/>
  <c r="BC35"/>
  <c r="G36"/>
  <c r="M36"/>
  <c r="S36"/>
  <c r="Y36"/>
  <c r="AE36"/>
  <c r="AK36"/>
  <c r="AQ36"/>
  <c r="AW36"/>
  <c r="BC36"/>
  <c r="G42"/>
  <c r="M42"/>
  <c r="S42"/>
  <c r="Y42"/>
  <c r="AE42"/>
  <c r="AK42"/>
  <c r="AQ42"/>
  <c r="AW42"/>
  <c r="BC42"/>
  <c r="G43"/>
  <c r="M43"/>
  <c r="S43"/>
  <c r="Y43"/>
  <c r="AE43"/>
  <c r="AK43"/>
  <c r="AQ43"/>
  <c r="AW43"/>
  <c r="BC43"/>
  <c r="BI43"/>
  <c r="AW18" i="2"/>
  <c r="BG79" i="4"/>
  <c r="BH41"/>
  <c r="L68"/>
  <c r="Y16" i="6"/>
  <c r="Y23" s="1"/>
  <c r="N16"/>
  <c r="N23" s="1"/>
  <c r="AB16"/>
  <c r="AB23" s="1"/>
  <c r="AA13" i="7"/>
  <c r="N13"/>
  <c r="D13"/>
  <c r="X13"/>
  <c r="O13"/>
  <c r="M45" i="4"/>
  <c r="M54" s="1"/>
  <c r="G48"/>
  <c r="BH11" i="3"/>
  <c r="BI35" i="1"/>
  <c r="BH42" i="4"/>
  <c r="BI7"/>
  <c r="BI6"/>
  <c r="BH13"/>
  <c r="AR13" i="7" s="1"/>
  <c r="BH40" i="4"/>
  <c r="BI10"/>
  <c r="BI40"/>
  <c r="D52"/>
  <c r="D53" s="1"/>
  <c r="F16" i="1"/>
  <c r="F19" s="1"/>
  <c r="F21" s="1"/>
  <c r="F36" i="2" s="1"/>
  <c r="S68" i="4"/>
  <c r="F52"/>
  <c r="F53" s="1"/>
  <c r="AY79"/>
  <c r="BB18" i="2"/>
  <c r="BO11" i="1"/>
  <c r="BO14" s="1"/>
  <c r="BO16" s="1"/>
  <c r="BO19" s="1"/>
  <c r="BO21" s="1"/>
  <c r="BL16" i="4"/>
  <c r="BQ16"/>
  <c r="BN39"/>
  <c r="BG28" i="2"/>
  <c r="BS16" i="4"/>
  <c r="BS25" s="1"/>
  <c r="BS5" i="1"/>
  <c r="BR39" i="4"/>
  <c r="BR5" i="1"/>
  <c r="J11"/>
  <c r="J14" s="1"/>
  <c r="J16" s="1"/>
  <c r="J19" s="1"/>
  <c r="J21" s="1"/>
  <c r="I36" i="2" s="1"/>
  <c r="G37" i="4"/>
  <c r="M33"/>
  <c r="I38"/>
  <c r="AZ24" i="1"/>
  <c r="AT16" i="4"/>
  <c r="AT24" i="1" s="1"/>
  <c r="AT41" i="4"/>
  <c r="AI41"/>
  <c r="AD41"/>
  <c r="BA16"/>
  <c r="BA24" i="1" s="1"/>
  <c r="BR16" i="4"/>
  <c r="BU40"/>
  <c r="I47"/>
  <c r="I68"/>
  <c r="M63"/>
  <c r="AV81"/>
  <c r="W53"/>
  <c r="W79"/>
  <c r="BD18" i="2"/>
  <c r="BI18"/>
  <c r="BU38" i="4"/>
  <c r="BD16" i="6" s="1"/>
  <c r="BD23" s="1"/>
  <c r="BO40" i="4"/>
  <c r="BO42"/>
  <c r="R19" i="1"/>
  <c r="R21" s="1"/>
  <c r="AE68" i="4"/>
  <c r="J56"/>
  <c r="W39"/>
  <c r="W7" i="1"/>
  <c r="Y7" s="1"/>
  <c r="AO41" i="4"/>
  <c r="AZ39"/>
  <c r="AU16"/>
  <c r="AU24" i="1" s="1"/>
  <c r="AU39" i="4"/>
  <c r="AN5" i="1"/>
  <c r="AQ5" s="1"/>
  <c r="AI16" i="4"/>
  <c r="AI24" i="1" s="1"/>
  <c r="I39" i="4"/>
  <c r="CA6" i="3"/>
  <c r="CA11" s="1"/>
  <c r="BY35" i="1"/>
  <c r="BW16" i="4"/>
  <c r="CG31"/>
  <c r="CG41" s="1"/>
  <c r="CC38"/>
  <c r="CC7" i="1" s="1"/>
  <c r="CC40" i="4"/>
  <c r="CF20" i="3"/>
  <c r="CF25" s="1"/>
  <c r="CG68" i="4"/>
  <c r="CF38"/>
  <c r="BR16" i="6" s="1"/>
  <c r="BR23" s="1"/>
  <c r="CF41" i="4"/>
  <c r="CG9" i="1"/>
  <c r="BY16" i="4"/>
  <c r="CE5" i="1"/>
  <c r="CI39" i="4"/>
  <c r="CI16"/>
  <c r="BK79"/>
  <c r="CC31" i="1"/>
  <c r="CD31"/>
  <c r="BS24"/>
  <c r="C49" i="4"/>
  <c r="C68"/>
  <c r="G65"/>
  <c r="BH81"/>
  <c r="R53"/>
  <c r="G45"/>
  <c r="G54" s="1"/>
  <c r="C54"/>
  <c r="F80"/>
  <c r="BG39"/>
  <c r="AN41"/>
  <c r="BS39"/>
  <c r="BS7" i="1"/>
  <c r="BS11" s="1"/>
  <c r="BS14" s="1"/>
  <c r="BS16" s="1"/>
  <c r="BS19" s="1"/>
  <c r="BT80" i="4"/>
  <c r="BR79"/>
  <c r="BX16"/>
  <c r="BX25" s="1"/>
  <c r="BA13" i="7"/>
  <c r="BZ16" i="4"/>
  <c r="BZ25" s="1"/>
  <c r="BZ5" i="1"/>
  <c r="BY7"/>
  <c r="BY11" s="1"/>
  <c r="BY14" s="1"/>
  <c r="BY16" s="1"/>
  <c r="BY19" s="1"/>
  <c r="BZ79" i="4"/>
  <c r="CC35" i="1"/>
  <c r="CD39" i="4"/>
  <c r="AG18" i="3"/>
  <c r="AW42" i="4"/>
  <c r="L13" i="7"/>
  <c r="BC6" i="4"/>
  <c r="BC40" s="1"/>
  <c r="BB40"/>
  <c r="S54"/>
  <c r="BW40"/>
  <c r="CJ7" i="1"/>
  <c r="CJ11" s="1"/>
  <c r="CJ14" s="1"/>
  <c r="CJ16" s="1"/>
  <c r="CJ19" s="1"/>
  <c r="S12"/>
  <c r="O14"/>
  <c r="O16" s="1"/>
  <c r="O19" s="1"/>
  <c r="O21" s="1"/>
  <c r="BS79" i="4"/>
  <c r="BH16"/>
  <c r="BH24" i="1" s="1"/>
  <c r="AT28" i="2"/>
  <c r="BF20" i="3"/>
  <c r="BF25" s="1"/>
  <c r="AV80" i="4"/>
  <c r="BC38"/>
  <c r="AO16" i="6" s="1"/>
  <c r="AO23" s="1"/>
  <c r="BC18" i="2"/>
  <c r="K54" i="4"/>
  <c r="J80"/>
  <c r="AK40"/>
  <c r="O41"/>
  <c r="O55"/>
  <c r="AH16"/>
  <c r="BB42"/>
  <c r="CD16"/>
  <c r="CD24" i="1" s="1"/>
  <c r="CD5"/>
  <c r="AV16" i="4"/>
  <c r="BX79"/>
  <c r="BZ39"/>
  <c r="CF79"/>
  <c r="CJ5" i="1"/>
  <c r="CM40" i="4"/>
  <c r="CF39"/>
  <c r="CF16"/>
  <c r="CF24" i="1" s="1"/>
  <c r="CK39" i="4"/>
  <c r="BF79" l="1"/>
  <c r="AS79"/>
  <c r="G67"/>
  <c r="M50"/>
  <c r="M48"/>
  <c r="L80"/>
  <c r="AW16" i="6"/>
  <c r="AW23" s="1"/>
  <c r="AS16"/>
  <c r="AS23" s="1"/>
  <c r="AL16"/>
  <c r="AL23" s="1"/>
  <c r="X16"/>
  <c r="X23" s="1"/>
  <c r="O16"/>
  <c r="O23" s="1"/>
  <c r="M16"/>
  <c r="M23" s="1"/>
  <c r="S38" i="4"/>
  <c r="P16" i="6" s="1"/>
  <c r="P23" s="1"/>
  <c r="AY16" i="4"/>
  <c r="AY24" i="1" s="1"/>
  <c r="AW15" i="4"/>
  <c r="AW41" s="1"/>
  <c r="AG16"/>
  <c r="AG24" i="1" s="1"/>
  <c r="AA16" i="4"/>
  <c r="AA24" i="1" s="1"/>
  <c r="AG13" i="7"/>
  <c r="AP39" i="4"/>
  <c r="W13" i="7"/>
  <c r="S13"/>
  <c r="L39" i="4"/>
  <c r="BB13"/>
  <c r="G13"/>
  <c r="M40"/>
  <c r="BA16" i="6"/>
  <c r="BA23" s="1"/>
  <c r="CA42" i="4"/>
  <c r="BW79"/>
  <c r="CA41"/>
  <c r="CM38"/>
  <c r="BL79"/>
  <c r="AU79"/>
  <c r="AM79"/>
  <c r="V79"/>
  <c r="U79"/>
  <c r="Y52"/>
  <c r="G50"/>
  <c r="C52"/>
  <c r="C53" s="1"/>
  <c r="J52"/>
  <c r="J53" s="1"/>
  <c r="BI42"/>
  <c r="BA39"/>
  <c r="AO39"/>
  <c r="Y13" i="7"/>
  <c r="Q13"/>
  <c r="Q53" i="4"/>
  <c r="O16"/>
  <c r="O24" i="1" s="1"/>
  <c r="C13" i="7"/>
  <c r="S13" i="4"/>
  <c r="Y13"/>
  <c r="AE13"/>
  <c r="S40"/>
  <c r="BU13"/>
  <c r="AX13" i="7" s="1"/>
  <c r="BU68" i="4"/>
  <c r="BT79" s="1"/>
  <c r="BF13" i="7"/>
  <c r="BG13"/>
  <c r="CM68" i="4"/>
  <c r="CS39"/>
  <c r="M18" i="3"/>
  <c r="AK11"/>
  <c r="BI11"/>
  <c r="BW20"/>
  <c r="BW25" s="1"/>
  <c r="BH20"/>
  <c r="BH25" s="1"/>
  <c r="AP20"/>
  <c r="AP25" s="1"/>
  <c r="AG20"/>
  <c r="AG25" s="1"/>
  <c r="V20"/>
  <c r="V25" s="1"/>
  <c r="G18"/>
  <c r="BI18"/>
  <c r="BC11"/>
  <c r="BC20" s="1"/>
  <c r="BC25" s="1"/>
  <c r="BO11"/>
  <c r="BO20" s="1"/>
  <c r="BO25" s="1"/>
  <c r="S20"/>
  <c r="S25" s="1"/>
  <c r="CI20"/>
  <c r="CI25" s="1"/>
  <c r="AW18"/>
  <c r="AS20"/>
  <c r="AS25" s="1"/>
  <c r="BZ20"/>
  <c r="BZ25" s="1"/>
  <c r="BX20"/>
  <c r="BX25" s="1"/>
  <c r="AQ18"/>
  <c r="BC18"/>
  <c r="AH20"/>
  <c r="AH25" s="1"/>
  <c r="P20"/>
  <c r="P25" s="1"/>
  <c r="Y11"/>
  <c r="CA35" i="1"/>
  <c r="AY20" i="3"/>
  <c r="AY25" s="1"/>
  <c r="U20"/>
  <c r="U25" s="1"/>
  <c r="U32" s="1"/>
  <c r="V29" s="1"/>
  <c r="V32" s="1"/>
  <c r="W29" s="1"/>
  <c r="AD20"/>
  <c r="AD25" s="1"/>
  <c r="CE20"/>
  <c r="CE25" s="1"/>
  <c r="AU20"/>
  <c r="AU25" s="1"/>
  <c r="AI20"/>
  <c r="AI25" s="1"/>
  <c r="CG11"/>
  <c r="CG20" s="1"/>
  <c r="CG25" s="1"/>
  <c r="AK18"/>
  <c r="J20"/>
  <c r="J25" s="1"/>
  <c r="BU18"/>
  <c r="AJ20"/>
  <c r="AJ25" s="1"/>
  <c r="CC20"/>
  <c r="CC25" s="1"/>
  <c r="CM18"/>
  <c r="BW44" i="1"/>
  <c r="BK11" i="6"/>
  <c r="BK14" s="1"/>
  <c r="AY11"/>
  <c r="AY14" s="1"/>
  <c r="X11"/>
  <c r="X14" s="1"/>
  <c r="AN79" i="4"/>
  <c r="W11" i="6"/>
  <c r="W14" s="1"/>
  <c r="CK44" i="1"/>
  <c r="AX11" i="6"/>
  <c r="AX14" s="1"/>
  <c r="Z11"/>
  <c r="Z14" s="1"/>
  <c r="BB11"/>
  <c r="BB14" s="1"/>
  <c r="BC11"/>
  <c r="BC14" s="1"/>
  <c r="BQ44" i="1"/>
  <c r="CD44"/>
  <c r="CI44"/>
  <c r="CF44"/>
  <c r="AB11" i="6"/>
  <c r="AB14" s="1"/>
  <c r="I11"/>
  <c r="I14" s="1"/>
  <c r="CE44" i="1"/>
  <c r="D11" i="6"/>
  <c r="D14" s="1"/>
  <c r="BT44" i="1"/>
  <c r="N11" i="6"/>
  <c r="N14" s="1"/>
  <c r="CJ44" i="1"/>
  <c r="BH14" i="6"/>
  <c r="Y11"/>
  <c r="Y14" s="1"/>
  <c r="AN24" i="1"/>
  <c r="BB16" i="4"/>
  <c r="BB24" i="1" s="1"/>
  <c r="BB39" i="4"/>
  <c r="AM13" i="7"/>
  <c r="AK13"/>
  <c r="BN25" i="4"/>
  <c r="AV14" i="7"/>
  <c r="BN24" i="1"/>
  <c r="S53" i="4"/>
  <c r="CI79"/>
  <c r="AM16"/>
  <c r="W14" i="7" s="1"/>
  <c r="AQ13"/>
  <c r="BW38" i="4"/>
  <c r="Q16"/>
  <c r="Q24" i="1" s="1"/>
  <c r="CD79" i="4"/>
  <c r="AQ15"/>
  <c r="AQ41" s="1"/>
  <c r="AW14" i="7"/>
  <c r="AO16" i="4"/>
  <c r="BC16" i="6"/>
  <c r="BC23" s="1"/>
  <c r="BC25" s="1"/>
  <c r="AU13" i="7"/>
  <c r="BU41" i="4"/>
  <c r="AE15"/>
  <c r="AE41" s="1"/>
  <c r="M38"/>
  <c r="K16" i="6" s="1"/>
  <c r="K23" s="1"/>
  <c r="K25" s="1"/>
  <c r="BK16" i="4"/>
  <c r="BH39"/>
  <c r="V13" i="7"/>
  <c r="H13"/>
  <c r="AG16" i="6"/>
  <c r="AG23" s="1"/>
  <c r="AA11" i="7" s="1"/>
  <c r="T16" i="6"/>
  <c r="T23" s="1"/>
  <c r="N11" i="7" s="1"/>
  <c r="G47" i="4"/>
  <c r="BU16" i="6"/>
  <c r="BU23" s="1"/>
  <c r="CC5" i="1"/>
  <c r="AL13" i="7"/>
  <c r="AC16" i="4"/>
  <c r="AC24" i="1" s="1"/>
  <c r="AK38" i="4"/>
  <c r="Z16" i="6" s="1"/>
  <c r="Z23" s="1"/>
  <c r="T11" i="7" s="1"/>
  <c r="AP13"/>
  <c r="AO79" i="4"/>
  <c r="Q39"/>
  <c r="BX5" i="1"/>
  <c r="AV16" i="6"/>
  <c r="AV23" s="1"/>
  <c r="AV35" s="1"/>
  <c r="BI68" i="4"/>
  <c r="BH79" s="1"/>
  <c r="BM39"/>
  <c r="J16" i="6"/>
  <c r="J23" s="1"/>
  <c r="D11" i="7" s="1"/>
  <c r="BQ7" i="1"/>
  <c r="K52" i="4"/>
  <c r="K53" s="1"/>
  <c r="BI13"/>
  <c r="AN13" i="7" s="1"/>
  <c r="R13"/>
  <c r="E13"/>
  <c r="AC13"/>
  <c r="R16" i="6"/>
  <c r="R23" s="1"/>
  <c r="L11" i="7" s="1"/>
  <c r="H26" i="6"/>
  <c r="Y56" i="4"/>
  <c r="AG41"/>
  <c r="Y42"/>
  <c r="AS16"/>
  <c r="Y54"/>
  <c r="CA68"/>
  <c r="CM41"/>
  <c r="G68"/>
  <c r="AV24" i="1"/>
  <c r="CG13" i="4"/>
  <c r="BH13" i="7" s="1"/>
  <c r="BA79" i="4"/>
  <c r="M13" i="7"/>
  <c r="CM42" i="4"/>
  <c r="AR16" i="6"/>
  <c r="AR23" s="1"/>
  <c r="AR25" s="1"/>
  <c r="G35" i="4"/>
  <c r="F26" i="6" s="1"/>
  <c r="J13" i="7"/>
  <c r="W16" i="6"/>
  <c r="W23" s="1"/>
  <c r="Q11" i="7" s="1"/>
  <c r="I80" i="4"/>
  <c r="BZ24" i="1"/>
  <c r="BB13" i="7"/>
  <c r="I13"/>
  <c r="AD16" i="6"/>
  <c r="AD23" s="1"/>
  <c r="AD25" s="1"/>
  <c r="CE16" i="4"/>
  <c r="CG16" s="1"/>
  <c r="CG25" s="1"/>
  <c r="AN16" i="6"/>
  <c r="AN23" s="1"/>
  <c r="AN25" s="1"/>
  <c r="P53" i="4"/>
  <c r="AQ38"/>
  <c r="AE16" i="6" s="1"/>
  <c r="AE23" s="1"/>
  <c r="AE25" s="1"/>
  <c r="K80" i="4"/>
  <c r="AT39"/>
  <c r="BT16"/>
  <c r="BB14" i="7" s="1"/>
  <c r="AX16" i="6"/>
  <c r="AX23" s="1"/>
  <c r="AR11" i="7" s="1"/>
  <c r="AR5" s="1"/>
  <c r="AJ16" i="4"/>
  <c r="AJ24" i="1" s="1"/>
  <c r="G13" i="7"/>
  <c r="T13"/>
  <c r="E68" i="4"/>
  <c r="BC41"/>
  <c r="BU42"/>
  <c r="CL5" i="1"/>
  <c r="CM5" s="1"/>
  <c r="BO13" i="7"/>
  <c r="I52" i="4"/>
  <c r="I53" s="1"/>
  <c r="BE79"/>
  <c r="BQ16" i="6"/>
  <c r="BQ23" s="1"/>
  <c r="BQ35" s="1"/>
  <c r="AT79" i="4"/>
  <c r="AH13" i="7"/>
  <c r="B13"/>
  <c r="CK79" i="4"/>
  <c r="AH39"/>
  <c r="P80"/>
  <c r="BY39"/>
  <c r="AP16"/>
  <c r="AP24" i="1" s="1"/>
  <c r="G49" i="4"/>
  <c r="BQ39"/>
  <c r="O80"/>
  <c r="AV13" i="7"/>
  <c r="R79" i="4"/>
  <c r="E38"/>
  <c r="I16" i="6" s="1"/>
  <c r="I23" s="1"/>
  <c r="I25" s="1"/>
  <c r="AB13" i="7"/>
  <c r="G56" i="4"/>
  <c r="AC39"/>
  <c r="K81"/>
  <c r="AQ16" i="6"/>
  <c r="AQ23" s="1"/>
  <c r="AQ35" s="1"/>
  <c r="O81" i="4"/>
  <c r="BT39"/>
  <c r="M46"/>
  <c r="M56" s="1"/>
  <c r="J54"/>
  <c r="BC7"/>
  <c r="BC42" s="1"/>
  <c r="I54"/>
  <c r="AW38"/>
  <c r="AJ16" i="6" s="1"/>
  <c r="AJ23" s="1"/>
  <c r="AJ35" s="1"/>
  <c r="CE39" i="4"/>
  <c r="BE13" i="7"/>
  <c r="BB16" i="6"/>
  <c r="BB23" s="1"/>
  <c r="BB25" s="1"/>
  <c r="AW13" i="7"/>
  <c r="AK15" i="4"/>
  <c r="AK41" s="1"/>
  <c r="BC68"/>
  <c r="BB79" s="1"/>
  <c r="AC16" i="6"/>
  <c r="AC23" s="1"/>
  <c r="AC25" s="1"/>
  <c r="L52" i="4"/>
  <c r="AQ20" i="3"/>
  <c r="AQ25" s="1"/>
  <c r="BI20"/>
  <c r="BI25" s="1"/>
  <c r="BA18"/>
  <c r="BA20" s="1"/>
  <c r="BA25" s="1"/>
  <c r="CG18"/>
  <c r="AT20"/>
  <c r="AT25" s="1"/>
  <c r="Q20"/>
  <c r="Q25" s="1"/>
  <c r="AC11"/>
  <c r="AC20" s="1"/>
  <c r="AC25" s="1"/>
  <c r="I11"/>
  <c r="I20" s="1"/>
  <c r="I25" s="1"/>
  <c r="BN20"/>
  <c r="BN25" s="1"/>
  <c r="AM20"/>
  <c r="AM25" s="1"/>
  <c r="AV20"/>
  <c r="AV25" s="1"/>
  <c r="CG35" i="1"/>
  <c r="BG20" i="3"/>
  <c r="BG25" s="1"/>
  <c r="Y18"/>
  <c r="AO20"/>
  <c r="AO25" s="1"/>
  <c r="W20"/>
  <c r="W25" s="1"/>
  <c r="AW11"/>
  <c r="AW20" s="1"/>
  <c r="AW25" s="1"/>
  <c r="BU7"/>
  <c r="CA18"/>
  <c r="CA20" s="1"/>
  <c r="CA25" s="1"/>
  <c r="CS20"/>
  <c r="CS25" s="1"/>
  <c r="BV18" i="2"/>
  <c r="BX18"/>
  <c r="BS28"/>
  <c r="AO28"/>
  <c r="AW28"/>
  <c r="BR28"/>
  <c r="CE29" i="1" s="1"/>
  <c r="BU18" i="2"/>
  <c r="AC21" i="1"/>
  <c r="Y36" i="2"/>
  <c r="AB21" i="1"/>
  <c r="X36" i="2"/>
  <c r="E14" i="1"/>
  <c r="E16" s="1"/>
  <c r="E19" s="1"/>
  <c r="E21" s="1"/>
  <c r="E36" i="2" s="1"/>
  <c r="CA36" i="1"/>
  <c r="CG36"/>
  <c r="AQ11"/>
  <c r="AQ14" s="1"/>
  <c r="AQ16" s="1"/>
  <c r="AQ19" s="1"/>
  <c r="AQ21" s="1"/>
  <c r="Y8"/>
  <c r="D11" i="3"/>
  <c r="D20" s="1"/>
  <c r="D25" s="1"/>
  <c r="D32" s="1"/>
  <c r="E29" s="1"/>
  <c r="AB11"/>
  <c r="AB20" s="1"/>
  <c r="AB25" s="1"/>
  <c r="F11"/>
  <c r="F20" s="1"/>
  <c r="F25" s="1"/>
  <c r="D14" i="1"/>
  <c r="D16" s="1"/>
  <c r="D19" s="1"/>
  <c r="D21" s="1"/>
  <c r="D36" i="2" s="1"/>
  <c r="M8" i="1"/>
  <c r="M11" s="1"/>
  <c r="M14" s="1"/>
  <c r="M16" s="1"/>
  <c r="M19" s="1"/>
  <c r="M21" s="1"/>
  <c r="M7" i="3"/>
  <c r="BU36" i="1"/>
  <c r="CM36"/>
  <c r="AE14"/>
  <c r="AE16" s="1"/>
  <c r="AE19" s="1"/>
  <c r="AE21" s="1"/>
  <c r="S8"/>
  <c r="S11" s="1"/>
  <c r="S14" s="1"/>
  <c r="S16" s="1"/>
  <c r="S19" s="1"/>
  <c r="S21" s="1"/>
  <c r="P14"/>
  <c r="P16" s="1"/>
  <c r="P19" s="1"/>
  <c r="P21" s="1"/>
  <c r="E11" i="3"/>
  <c r="E20" s="1"/>
  <c r="E25" s="1"/>
  <c r="BI11" i="1"/>
  <c r="BI14" s="1"/>
  <c r="BI16" s="1"/>
  <c r="BI19" s="1"/>
  <c r="BI21" s="1"/>
  <c r="L11" i="3"/>
  <c r="L20" s="1"/>
  <c r="L25" s="1"/>
  <c r="CO21" i="1"/>
  <c r="BZ36" i="2"/>
  <c r="AA11" i="3"/>
  <c r="AA20" s="1"/>
  <c r="AA25" s="1"/>
  <c r="BG14" i="6"/>
  <c r="CS25" i="4"/>
  <c r="CS7" i="1"/>
  <c r="CS11" s="1"/>
  <c r="CS14" s="1"/>
  <c r="CS16" s="1"/>
  <c r="CS19" s="1"/>
  <c r="CS21" s="1"/>
  <c r="CS5"/>
  <c r="M6" i="3"/>
  <c r="M11" s="1"/>
  <c r="AE6"/>
  <c r="AE11" s="1"/>
  <c r="AE20" s="1"/>
  <c r="AE25" s="1"/>
  <c r="BI14" i="6"/>
  <c r="BS6" i="3"/>
  <c r="BS11" s="1"/>
  <c r="BS20" s="1"/>
  <c r="BS25" s="1"/>
  <c r="K11"/>
  <c r="K20" s="1"/>
  <c r="K25" s="1"/>
  <c r="K11" i="6"/>
  <c r="K14" s="1"/>
  <c r="P11"/>
  <c r="P14" s="1"/>
  <c r="F11"/>
  <c r="F14" s="1"/>
  <c r="CF25" i="4"/>
  <c r="CE24" i="1"/>
  <c r="CE25" i="4"/>
  <c r="CI24" i="1"/>
  <c r="CI25" i="4"/>
  <c r="BM24" i="1"/>
  <c r="BM25" i="4"/>
  <c r="BF14" i="7"/>
  <c r="CD25" i="4"/>
  <c r="BK24" i="1"/>
  <c r="BK25" i="4"/>
  <c r="BL24" i="1"/>
  <c r="BL25" i="4"/>
  <c r="W36" i="2"/>
  <c r="W41" s="1"/>
  <c r="X33" s="1"/>
  <c r="X35" s="1"/>
  <c r="AA21" i="1"/>
  <c r="Z36" i="2"/>
  <c r="AD21" i="1"/>
  <c r="CL35"/>
  <c r="CM35" s="1"/>
  <c r="CL20" i="3"/>
  <c r="CL25" s="1"/>
  <c r="AK14" i="7"/>
  <c r="BX24" i="1"/>
  <c r="AR14" i="7"/>
  <c r="AU14"/>
  <c r="CC39" i="4"/>
  <c r="BK16" i="6"/>
  <c r="BK23" s="1"/>
  <c r="BK25" s="1"/>
  <c r="BL16"/>
  <c r="BL23" s="1"/>
  <c r="BL35" s="1"/>
  <c r="BM16"/>
  <c r="BM23" s="1"/>
  <c r="BM25" s="1"/>
  <c r="BY24" i="1"/>
  <c r="BY25" i="4"/>
  <c r="BW24" i="1"/>
  <c r="BW25" i="4"/>
  <c r="E39"/>
  <c r="H16" i="6"/>
  <c r="H23" s="1"/>
  <c r="G7" i="3"/>
  <c r="AW13" i="4"/>
  <c r="BO38"/>
  <c r="AY16" i="6" s="1"/>
  <c r="AY23" s="1"/>
  <c r="AS11" i="7" s="1"/>
  <c r="AS5" s="1"/>
  <c r="BO68" i="4"/>
  <c r="BN79" s="1"/>
  <c r="BM11" i="3"/>
  <c r="BM20" s="1"/>
  <c r="BM25" s="1"/>
  <c r="AZ13" i="7"/>
  <c r="BK13"/>
  <c r="CM6" i="3"/>
  <c r="CM11" s="1"/>
  <c r="CL44" i="1"/>
  <c r="BO26" i="4"/>
  <c r="BU27"/>
  <c r="BR24" i="1"/>
  <c r="BR25" i="4"/>
  <c r="BT25"/>
  <c r="BQ24" i="1"/>
  <c r="BQ25" i="4"/>
  <c r="Y11" i="1"/>
  <c r="Y14" s="1"/>
  <c r="Y16" s="1"/>
  <c r="Y19" s="1"/>
  <c r="Y21" s="1"/>
  <c r="G8"/>
  <c r="G11" s="1"/>
  <c r="G14" s="1"/>
  <c r="G16" s="1"/>
  <c r="G19" s="1"/>
  <c r="G21" s="1"/>
  <c r="G6" i="3"/>
  <c r="P81" i="4"/>
  <c r="BM79"/>
  <c r="X53"/>
  <c r="V53"/>
  <c r="S56"/>
  <c r="AV39"/>
  <c r="AN39"/>
  <c r="AJ39"/>
  <c r="AD39"/>
  <c r="AA41"/>
  <c r="S55"/>
  <c r="BF39"/>
  <c r="U11" i="6"/>
  <c r="U14" s="1"/>
  <c r="T11"/>
  <c r="T14" s="1"/>
  <c r="S11"/>
  <c r="S14" s="1"/>
  <c r="R11"/>
  <c r="R14" s="1"/>
  <c r="O11"/>
  <c r="O14" s="1"/>
  <c r="M11"/>
  <c r="M14" s="1"/>
  <c r="J11"/>
  <c r="J14" s="1"/>
  <c r="H11"/>
  <c r="H14" s="1"/>
  <c r="E11"/>
  <c r="E14" s="1"/>
  <c r="C11"/>
  <c r="C14" s="1"/>
  <c r="BO27" i="4"/>
  <c r="CA27"/>
  <c r="BR6" i="3"/>
  <c r="BR11" s="1"/>
  <c r="BR35" i="1" s="1"/>
  <c r="BR11"/>
  <c r="BR14" s="1"/>
  <c r="BR16" s="1"/>
  <c r="BR19" s="1"/>
  <c r="BG36" i="2" s="1"/>
  <c r="F79" i="4"/>
  <c r="E53"/>
  <c r="AW16"/>
  <c r="AW24" i="1" s="1"/>
  <c r="AW39" i="4"/>
  <c r="CG5" i="1"/>
  <c r="AH24"/>
  <c r="CA16" i="4"/>
  <c r="CA25" s="1"/>
  <c r="AA14" i="7"/>
  <c r="BP16" i="6"/>
  <c r="BP23" s="1"/>
  <c r="BP35" s="1"/>
  <c r="CG40" i="4"/>
  <c r="M68"/>
  <c r="L81"/>
  <c r="AY39"/>
  <c r="AB39"/>
  <c r="V39"/>
  <c r="R39"/>
  <c r="P39"/>
  <c r="J39"/>
  <c r="D39"/>
  <c r="AQ42"/>
  <c r="AE42"/>
  <c r="S42"/>
  <c r="G42"/>
  <c r="AE38"/>
  <c r="AE39" s="1"/>
  <c r="S41"/>
  <c r="AB16"/>
  <c r="AB24" i="1" s="1"/>
  <c r="AS39" i="4"/>
  <c r="M13"/>
  <c r="M39" s="1"/>
  <c r="BY79"/>
  <c r="CA13"/>
  <c r="BC13" i="7" s="1"/>
  <c r="CA38" i="4"/>
  <c r="BI16" i="6" s="1"/>
  <c r="BI23" s="1"/>
  <c r="CG42" i="4"/>
  <c r="BJ13" i="7"/>
  <c r="BL13"/>
  <c r="CL16" i="4"/>
  <c r="BO14" i="7" s="1"/>
  <c r="CL39" i="4"/>
  <c r="S16"/>
  <c r="S24" i="1" s="1"/>
  <c r="CM39" i="4"/>
  <c r="P26" i="6"/>
  <c r="P25" s="1"/>
  <c r="F39" i="4"/>
  <c r="BL39"/>
  <c r="L79"/>
  <c r="J79"/>
  <c r="I79"/>
  <c r="L53"/>
  <c r="O79"/>
  <c r="Q79"/>
  <c r="P79"/>
  <c r="CC24" i="1"/>
  <c r="BG14" i="7"/>
  <c r="BE14"/>
  <c r="BK14"/>
  <c r="AH14"/>
  <c r="V14"/>
  <c r="S39" i="4"/>
  <c r="AG14" i="7"/>
  <c r="W11" i="1"/>
  <c r="W14" s="1"/>
  <c r="W16" s="1"/>
  <c r="W19" s="1"/>
  <c r="W21" s="1"/>
  <c r="M47" i="4"/>
  <c r="M52" s="1"/>
  <c r="BU39"/>
  <c r="BO16"/>
  <c r="Y53"/>
  <c r="L54"/>
  <c r="AI16" i="6"/>
  <c r="AI23" s="1"/>
  <c r="AI25" s="1"/>
  <c r="AA39" i="4"/>
  <c r="U39"/>
  <c r="O39"/>
  <c r="BI41"/>
  <c r="AK13"/>
  <c r="AK16" s="1"/>
  <c r="AK24" i="1" s="1"/>
  <c r="BO13" i="4"/>
  <c r="BO41"/>
  <c r="CA40"/>
  <c r="CA5" i="1"/>
  <c r="CC79" i="4"/>
  <c r="CJ79"/>
  <c r="BO24"/>
  <c r="AZ79"/>
  <c r="AW68"/>
  <c r="AV79" s="1"/>
  <c r="AQ68"/>
  <c r="AP79" s="1"/>
  <c r="AK68"/>
  <c r="AJ79" s="1"/>
  <c r="Y68"/>
  <c r="BU5" i="1"/>
  <c r="BL14" i="7"/>
  <c r="AI11"/>
  <c r="AI5" s="1"/>
  <c r="AO25" i="6"/>
  <c r="AO35"/>
  <c r="Z25"/>
  <c r="Z27" s="1"/>
  <c r="CA24" i="1"/>
  <c r="BC14" i="7"/>
  <c r="CC11" i="1"/>
  <c r="CC14" s="1"/>
  <c r="CC16" s="1"/>
  <c r="CC19" s="1"/>
  <c r="CC21" s="1"/>
  <c r="CG7"/>
  <c r="CG11" s="1"/>
  <c r="CG14" s="1"/>
  <c r="CG16" s="1"/>
  <c r="CG19" s="1"/>
  <c r="CG21" s="1"/>
  <c r="AH35" i="6"/>
  <c r="AB11" i="7"/>
  <c r="AH25" i="6"/>
  <c r="AW35"/>
  <c r="AQ11" i="7"/>
  <c r="AQ5" s="1"/>
  <c r="AW25" i="6"/>
  <c r="BI16" i="4"/>
  <c r="BG24" i="1"/>
  <c r="AQ14" i="7"/>
  <c r="AM14"/>
  <c r="AS13"/>
  <c r="BT11" i="1"/>
  <c r="BT14" s="1"/>
  <c r="BT16" s="1"/>
  <c r="BT19" s="1"/>
  <c r="BI36" i="2" s="1"/>
  <c r="BT6" i="3"/>
  <c r="BU7" i="1"/>
  <c r="BU11" s="1"/>
  <c r="BU14" s="1"/>
  <c r="BU16" s="1"/>
  <c r="BU19" s="1"/>
  <c r="BU21" s="1"/>
  <c r="CI11"/>
  <c r="CI14" s="1"/>
  <c r="CI16" s="1"/>
  <c r="CI19" s="1"/>
  <c r="CI21" s="1"/>
  <c r="CM7"/>
  <c r="CM11" s="1"/>
  <c r="CM14" s="1"/>
  <c r="CM16" s="1"/>
  <c r="CM19" s="1"/>
  <c r="CM21" s="1"/>
  <c r="CL79" i="4"/>
  <c r="BS16" i="6"/>
  <c r="BS23" s="1"/>
  <c r="BM11" i="7" s="1"/>
  <c r="BM5" s="1"/>
  <c r="AL14"/>
  <c r="BC16" i="4"/>
  <c r="AM24" i="1"/>
  <c r="AP14" i="7"/>
  <c r="CG38" i="4"/>
  <c r="BI38"/>
  <c r="Y38"/>
  <c r="AM25" i="6"/>
  <c r="AG11" i="7"/>
  <c r="AG5" s="1"/>
  <c r="AG6" s="1"/>
  <c r="AM35" i="6"/>
  <c r="AU11" i="7"/>
  <c r="AU5" s="1"/>
  <c r="BA25" i="6"/>
  <c r="BA35"/>
  <c r="G11" i="7"/>
  <c r="M25" i="6"/>
  <c r="M27" s="1"/>
  <c r="S11" i="7"/>
  <c r="Y25" i="6"/>
  <c r="Y27" s="1"/>
  <c r="I11" i="7"/>
  <c r="O25" i="6"/>
  <c r="O27" s="1"/>
  <c r="D33" i="2"/>
  <c r="D35" s="1"/>
  <c r="C21"/>
  <c r="C28" s="1"/>
  <c r="R11" i="7"/>
  <c r="X25" i="6"/>
  <c r="X27" s="1"/>
  <c r="BH36" i="2"/>
  <c r="BS21" i="1"/>
  <c r="BV36" i="2"/>
  <c r="CJ21" i="1"/>
  <c r="AL35" i="6"/>
  <c r="AL25"/>
  <c r="AF11" i="7"/>
  <c r="AF5" s="1"/>
  <c r="H11"/>
  <c r="N25" i="6"/>
  <c r="BM36" i="2"/>
  <c r="BY21" i="1"/>
  <c r="AW11" i="7"/>
  <c r="AW5" s="1"/>
  <c r="J11"/>
  <c r="V11"/>
  <c r="AB25" i="6"/>
  <c r="S25"/>
  <c r="M11" i="7"/>
  <c r="AS35" i="6"/>
  <c r="AM11" i="7"/>
  <c r="AM5" s="1"/>
  <c r="AS25" i="6"/>
  <c r="BW36" i="2"/>
  <c r="CK21" i="1"/>
  <c r="BX36" i="2"/>
  <c r="CL21" i="1"/>
  <c r="AH11" i="7"/>
  <c r="AH5" s="1"/>
  <c r="BR35" i="6"/>
  <c r="BL11" i="7"/>
  <c r="BL5" s="1"/>
  <c r="BR25" i="6"/>
  <c r="BD35"/>
  <c r="AX11" i="7"/>
  <c r="AX5" s="1"/>
  <c r="BD25" i="6"/>
  <c r="BL36" i="2"/>
  <c r="BX21" i="1"/>
  <c r="BN36" i="2"/>
  <c r="BZ21" i="1"/>
  <c r="BO25" i="4" l="1"/>
  <c r="BO39"/>
  <c r="H25" i="6"/>
  <c r="G52" i="4"/>
  <c r="G53" s="1"/>
  <c r="AF14" i="7"/>
  <c r="E32" i="3"/>
  <c r="F29" s="1"/>
  <c r="F32" s="1"/>
  <c r="I29" s="1"/>
  <c r="Y20"/>
  <c r="Y25" s="1"/>
  <c r="Y32" s="1"/>
  <c r="M20"/>
  <c r="M25" s="1"/>
  <c r="AK20"/>
  <c r="AK25" s="1"/>
  <c r="W32"/>
  <c r="X29" s="1"/>
  <c r="X32" s="1"/>
  <c r="CM20"/>
  <c r="CM25" s="1"/>
  <c r="AQ6" i="7"/>
  <c r="W11"/>
  <c r="Z31" i="6"/>
  <c r="Y11" i="7"/>
  <c r="T25" i="6"/>
  <c r="T32" s="1"/>
  <c r="BG11" i="7"/>
  <c r="BG5" s="1"/>
  <c r="BG7" s="1"/>
  <c r="X31" i="6"/>
  <c r="BM35"/>
  <c r="C11" i="7"/>
  <c r="AV11"/>
  <c r="AV5" s="1"/>
  <c r="AV6" s="1"/>
  <c r="BB35" i="6"/>
  <c r="AX35"/>
  <c r="X11" i="7"/>
  <c r="AP11"/>
  <c r="AP5" s="1"/>
  <c r="AP6" s="1"/>
  <c r="Y31" i="6"/>
  <c r="AV25"/>
  <c r="AV32" s="1"/>
  <c r="W25"/>
  <c r="W27" s="1"/>
  <c r="W31" s="1"/>
  <c r="J25"/>
  <c r="J32" s="1"/>
  <c r="AJ25"/>
  <c r="AJ32" s="1"/>
  <c r="AN35"/>
  <c r="AD11" i="7"/>
  <c r="AG35" i="6"/>
  <c r="AG25"/>
  <c r="AG27" s="1"/>
  <c r="AG31" s="1"/>
  <c r="AQ25"/>
  <c r="AQ32" s="1"/>
  <c r="BK11" i="7"/>
  <c r="BK5" s="1"/>
  <c r="BK7" s="1"/>
  <c r="E11"/>
  <c r="BE11"/>
  <c r="BE5" s="1"/>
  <c r="BE6" s="1"/>
  <c r="BC35" i="6"/>
  <c r="AS24" i="1"/>
  <c r="AB14" i="7"/>
  <c r="BU35" i="6"/>
  <c r="BO11" i="7"/>
  <c r="BO5" s="1"/>
  <c r="BU25" i="6"/>
  <c r="X32"/>
  <c r="AC14" i="7"/>
  <c r="BR20" i="3"/>
  <c r="BR25" s="1"/>
  <c r="AX25" i="6"/>
  <c r="AX32" s="1"/>
  <c r="AK11" i="7"/>
  <c r="AK5" s="1"/>
  <c r="AK6" s="1"/>
  <c r="AQ39" i="4"/>
  <c r="BK35" i="6"/>
  <c r="CA39" i="4"/>
  <c r="M53"/>
  <c r="K79"/>
  <c r="BT24" i="1"/>
  <c r="BJ14" i="7"/>
  <c r="AQ16" i="4"/>
  <c r="AQ24" i="1" s="1"/>
  <c r="AO24"/>
  <c r="X14" i="7"/>
  <c r="BQ11" i="1"/>
  <c r="BQ14" s="1"/>
  <c r="BQ16" s="1"/>
  <c r="BQ19" s="1"/>
  <c r="BQ6" i="3"/>
  <c r="BQ11" s="1"/>
  <c r="AR35" i="6"/>
  <c r="BL25"/>
  <c r="BL32" s="1"/>
  <c r="AE16" i="4"/>
  <c r="AE24" i="1" s="1"/>
  <c r="Y14" i="7"/>
  <c r="R25" i="6"/>
  <c r="R32" s="1"/>
  <c r="BP25"/>
  <c r="BP32" s="1"/>
  <c r="AL11" i="7"/>
  <c r="AL5" s="1"/>
  <c r="AL6" s="1"/>
  <c r="BF11"/>
  <c r="BF5" s="1"/>
  <c r="BF7" s="1"/>
  <c r="BQ25" i="6"/>
  <c r="BQ27" s="1"/>
  <c r="BQ31" s="1"/>
  <c r="T14" i="7"/>
  <c r="AZ14"/>
  <c r="BA14"/>
  <c r="BW7" i="1"/>
  <c r="BH16" i="6"/>
  <c r="BH23" s="1"/>
  <c r="BG16"/>
  <c r="BG23" s="1"/>
  <c r="BF16"/>
  <c r="BF23" s="1"/>
  <c r="BW39" i="4"/>
  <c r="BU16"/>
  <c r="AX14" i="7" s="1"/>
  <c r="AX7" s="1"/>
  <c r="B11"/>
  <c r="BS25" i="6"/>
  <c r="BS32" s="1"/>
  <c r="BC13" i="4"/>
  <c r="AI13" i="7" s="1"/>
  <c r="AI6" s="1"/>
  <c r="CM16" i="4"/>
  <c r="G38"/>
  <c r="AD14" i="7"/>
  <c r="BS35" i="1"/>
  <c r="G11" i="3"/>
  <c r="G20" s="1"/>
  <c r="G25" s="1"/>
  <c r="G32" s="1"/>
  <c r="O31" i="6"/>
  <c r="D41" i="2"/>
  <c r="D21" s="1"/>
  <c r="X41"/>
  <c r="Y33" s="1"/>
  <c r="Y35" s="1"/>
  <c r="Y41" s="1"/>
  <c r="Z33" s="1"/>
  <c r="Z35" s="1"/>
  <c r="Z41" s="1"/>
  <c r="AB33" s="1"/>
  <c r="AB35" s="1"/>
  <c r="AB41" s="1"/>
  <c r="AC33" s="1"/>
  <c r="AC35" s="1"/>
  <c r="AC41" s="1"/>
  <c r="AD33" s="1"/>
  <c r="AD35" s="1"/>
  <c r="AD41" s="1"/>
  <c r="AE33" s="1"/>
  <c r="AE35" s="1"/>
  <c r="AE41" s="1"/>
  <c r="AG33" s="1"/>
  <c r="AG35" s="1"/>
  <c r="AG41" s="1"/>
  <c r="AH33" s="1"/>
  <c r="AH35" s="1"/>
  <c r="AH41" s="1"/>
  <c r="AI33" s="1"/>
  <c r="AI35" s="1"/>
  <c r="AI41" s="1"/>
  <c r="AJ33" s="1"/>
  <c r="AJ35" s="1"/>
  <c r="AJ41" s="1"/>
  <c r="AL33" s="1"/>
  <c r="AL35" s="1"/>
  <c r="AL41" s="1"/>
  <c r="AM33" s="1"/>
  <c r="AM35" s="1"/>
  <c r="AM41" s="1"/>
  <c r="AN33" s="1"/>
  <c r="AN35" s="1"/>
  <c r="AN41" s="1"/>
  <c r="AO33" s="1"/>
  <c r="AO35" s="1"/>
  <c r="AO41" s="1"/>
  <c r="AQ33" s="1"/>
  <c r="AQ35" s="1"/>
  <c r="AQ41" s="1"/>
  <c r="AR33" s="1"/>
  <c r="AR35" s="1"/>
  <c r="AR41" s="1"/>
  <c r="AS33" s="1"/>
  <c r="AS35" s="1"/>
  <c r="AS41" s="1"/>
  <c r="AT33" s="1"/>
  <c r="AT35" s="1"/>
  <c r="AT41" s="1"/>
  <c r="AV33" s="1"/>
  <c r="AV35" s="1"/>
  <c r="AV41" s="1"/>
  <c r="AW33" s="1"/>
  <c r="AW35" s="1"/>
  <c r="AW41" s="1"/>
  <c r="AX33" s="1"/>
  <c r="AX35" s="1"/>
  <c r="AX41" s="1"/>
  <c r="AY33" s="1"/>
  <c r="AY35" s="1"/>
  <c r="AY41" s="1"/>
  <c r="BA33" s="1"/>
  <c r="BA35" s="1"/>
  <c r="BA41" s="1"/>
  <c r="BB33" s="1"/>
  <c r="BB35" s="1"/>
  <c r="BB41" s="1"/>
  <c r="BC33" s="1"/>
  <c r="BC35" s="1"/>
  <c r="BC41" s="1"/>
  <c r="BD33" s="1"/>
  <c r="BD35" s="1"/>
  <c r="BD41" s="1"/>
  <c r="BF33" s="1"/>
  <c r="BF35" s="1"/>
  <c r="AS6" i="7"/>
  <c r="BR21" i="1"/>
  <c r="BU36" i="2"/>
  <c r="AR7" i="7"/>
  <c r="AY35" i="6"/>
  <c r="BJ11" i="7"/>
  <c r="BJ5" s="1"/>
  <c r="M31" i="6"/>
  <c r="AI35"/>
  <c r="AY25"/>
  <c r="AY27" s="1"/>
  <c r="AY31" s="1"/>
  <c r="AC11" i="7"/>
  <c r="CL24" i="1"/>
  <c r="CL25" i="4"/>
  <c r="BU25"/>
  <c r="AQ7" i="7"/>
  <c r="AK39" i="4"/>
  <c r="BM6" i="7"/>
  <c r="BO24" i="1"/>
  <c r="AS14" i="7"/>
  <c r="AS7" s="1"/>
  <c r="BS35" i="6"/>
  <c r="Z32"/>
  <c r="BH14" i="7"/>
  <c r="CG24" i="1"/>
  <c r="BN16" i="6"/>
  <c r="BN23" s="1"/>
  <c r="CG39" i="4"/>
  <c r="BT11" i="3"/>
  <c r="AW27" i="6"/>
  <c r="AW31" s="1"/>
  <c r="AW32"/>
  <c r="BI39" i="4"/>
  <c r="AT16" i="6"/>
  <c r="AT23" s="1"/>
  <c r="BC24" i="1"/>
  <c r="AI14" i="7"/>
  <c r="AI7" s="1"/>
  <c r="BC11"/>
  <c r="BC5" s="1"/>
  <c r="BI25" i="6"/>
  <c r="BI35"/>
  <c r="BI24" i="1"/>
  <c r="AN14" i="7"/>
  <c r="AH27" i="6"/>
  <c r="AH31" s="1"/>
  <c r="AH32"/>
  <c r="AR6" i="7"/>
  <c r="AG7"/>
  <c r="Y39" i="4"/>
  <c r="U16" i="6"/>
  <c r="U23" s="1"/>
  <c r="AO27"/>
  <c r="AO31" s="1"/>
  <c r="AO32"/>
  <c r="AU6" i="7"/>
  <c r="AU7"/>
  <c r="AM27" i="6"/>
  <c r="AM31" s="1"/>
  <c r="AM32"/>
  <c r="M32"/>
  <c r="O32"/>
  <c r="Y32"/>
  <c r="E33" i="2"/>
  <c r="E35" s="1"/>
  <c r="E41" s="1"/>
  <c r="BA27" i="6"/>
  <c r="BA31" s="1"/>
  <c r="BA32"/>
  <c r="AC27"/>
  <c r="AC31" s="1"/>
  <c r="AC32"/>
  <c r="BR27"/>
  <c r="BR31" s="1"/>
  <c r="BR32"/>
  <c r="AH6" i="7"/>
  <c r="AH7"/>
  <c r="AI27" i="6"/>
  <c r="AI31" s="1"/>
  <c r="AI32"/>
  <c r="BD27"/>
  <c r="BD31" s="1"/>
  <c r="BD32"/>
  <c r="BL7" i="7"/>
  <c r="BL6"/>
  <c r="AE27" i="6"/>
  <c r="AE31" s="1"/>
  <c r="AE32"/>
  <c r="AN27"/>
  <c r="AN31" s="1"/>
  <c r="AN32"/>
  <c r="BM27"/>
  <c r="BM31" s="1"/>
  <c r="BM32"/>
  <c r="AS27"/>
  <c r="AS31" s="1"/>
  <c r="AS32"/>
  <c r="S32"/>
  <c r="S27"/>
  <c r="S31" s="1"/>
  <c r="P32"/>
  <c r="P27"/>
  <c r="P31" s="1"/>
  <c r="AW7" i="7"/>
  <c r="AW6"/>
  <c r="H27" i="6"/>
  <c r="H31" s="1"/>
  <c r="H32"/>
  <c r="AL27"/>
  <c r="AL31" s="1"/>
  <c r="AL32"/>
  <c r="BB32"/>
  <c r="BB27"/>
  <c r="BB31" s="1"/>
  <c r="AX6" i="7"/>
  <c r="BK27" i="6"/>
  <c r="BK31" s="1"/>
  <c r="BK32"/>
  <c r="AM6" i="7"/>
  <c r="AM7"/>
  <c r="AB27" i="6"/>
  <c r="AB31" s="1"/>
  <c r="AB32"/>
  <c r="BC27"/>
  <c r="BC31" s="1"/>
  <c r="BC32"/>
  <c r="K27"/>
  <c r="K31" s="1"/>
  <c r="K32"/>
  <c r="AV27"/>
  <c r="AV31" s="1"/>
  <c r="I27"/>
  <c r="I31" s="1"/>
  <c r="I32"/>
  <c r="N27"/>
  <c r="N31" s="1"/>
  <c r="N32"/>
  <c r="AF6" i="7"/>
  <c r="AF7"/>
  <c r="AR27" i="6"/>
  <c r="AR31" s="1"/>
  <c r="AR32"/>
  <c r="AD27"/>
  <c r="AD31" s="1"/>
  <c r="AD32"/>
  <c r="BC39" i="4" l="1"/>
  <c r="I32" i="3"/>
  <c r="J29" s="1"/>
  <c r="J32" s="1"/>
  <c r="K29" s="1"/>
  <c r="K32" s="1"/>
  <c r="L29" s="1"/>
  <c r="L32" s="1"/>
  <c r="O29" s="1"/>
  <c r="S29" s="1"/>
  <c r="S32" s="1"/>
  <c r="AA29" s="1"/>
  <c r="M29"/>
  <c r="M32" s="1"/>
  <c r="BU6"/>
  <c r="BU11" s="1"/>
  <c r="BU20" s="1"/>
  <c r="BU25" s="1"/>
  <c r="AV7" i="7"/>
  <c r="BE7"/>
  <c r="BQ32" i="6"/>
  <c r="AJ27"/>
  <c r="AJ31" s="1"/>
  <c r="AG32"/>
  <c r="T27"/>
  <c r="T31" s="1"/>
  <c r="BG6" i="7"/>
  <c r="BP27" i="6"/>
  <c r="BP31" s="1"/>
  <c r="AX27"/>
  <c r="AX31" s="1"/>
  <c r="AQ27"/>
  <c r="AQ31" s="1"/>
  <c r="AP7" i="7"/>
  <c r="J27" i="6"/>
  <c r="J31" s="1"/>
  <c r="W32"/>
  <c r="BK6" i="7"/>
  <c r="AL7"/>
  <c r="BS27" i="6"/>
  <c r="BS31" s="1"/>
  <c r="BF6" i="7"/>
  <c r="BM14"/>
  <c r="BM7" s="1"/>
  <c r="CM24" i="1"/>
  <c r="F16" i="6"/>
  <c r="F23" s="1"/>
  <c r="F25" s="1"/>
  <c r="G39" i="4"/>
  <c r="BG25" i="6"/>
  <c r="BG35"/>
  <c r="BA11" i="7"/>
  <c r="BA5" s="1"/>
  <c r="BF36" i="2"/>
  <c r="BQ21" i="1"/>
  <c r="BJ7" i="7"/>
  <c r="BW11" i="1"/>
  <c r="BW14" s="1"/>
  <c r="BW16" s="1"/>
  <c r="BW19" s="1"/>
  <c r="BW21" s="1"/>
  <c r="CA7"/>
  <c r="CA11" s="1"/>
  <c r="CA14" s="1"/>
  <c r="CA16" s="1"/>
  <c r="CA19" s="1"/>
  <c r="CA21" s="1"/>
  <c r="BH35" i="6"/>
  <c r="BH25"/>
  <c r="BB11" i="7"/>
  <c r="BB5" s="1"/>
  <c r="BU27" i="6"/>
  <c r="BU31" s="1"/>
  <c r="BU32"/>
  <c r="BF35"/>
  <c r="BF25"/>
  <c r="AZ11" i="7"/>
  <c r="AZ5" s="1"/>
  <c r="BQ35" i="1"/>
  <c r="BQ20" i="3"/>
  <c r="BQ25" s="1"/>
  <c r="BF41" i="2"/>
  <c r="BG33" s="1"/>
  <c r="BG35" s="1"/>
  <c r="BG41" s="1"/>
  <c r="BH33" s="1"/>
  <c r="BH35" s="1"/>
  <c r="BH41" s="1"/>
  <c r="BI33" s="1"/>
  <c r="BI35" s="1"/>
  <c r="BI41" s="1"/>
  <c r="BK33" s="1"/>
  <c r="BK35" s="1"/>
  <c r="BK41" s="1"/>
  <c r="BL33" s="1"/>
  <c r="BL35" s="1"/>
  <c r="BL41" s="1"/>
  <c r="BM33" s="1"/>
  <c r="BM35" s="1"/>
  <c r="BM41" s="1"/>
  <c r="BN33" s="1"/>
  <c r="BN35" s="1"/>
  <c r="BN41" s="1"/>
  <c r="BP33" s="1"/>
  <c r="BP35" s="1"/>
  <c r="BP41" s="1"/>
  <c r="BQ33" s="1"/>
  <c r="BQ35" s="1"/>
  <c r="BQ41" s="1"/>
  <c r="BR33" s="1"/>
  <c r="BR35" s="1"/>
  <c r="BR41" s="1"/>
  <c r="BS33" s="1"/>
  <c r="BS35" s="1"/>
  <c r="BS41" s="1"/>
  <c r="BU33" s="1"/>
  <c r="BU35" s="1"/>
  <c r="BU41" s="1"/>
  <c r="BV33" s="1"/>
  <c r="BV35" s="1"/>
  <c r="BV41" s="1"/>
  <c r="BW33" s="1"/>
  <c r="BW35" s="1"/>
  <c r="BW41" s="1"/>
  <c r="BX33" s="1"/>
  <c r="BX35" s="1"/>
  <c r="BX41" s="1"/>
  <c r="BZ33" s="1"/>
  <c r="BZ35" s="1"/>
  <c r="BZ41" s="1"/>
  <c r="BL27" i="6"/>
  <c r="BL31" s="1"/>
  <c r="AY32"/>
  <c r="CM25" i="4"/>
  <c r="BO6" i="7"/>
  <c r="BO7"/>
  <c r="R27" i="6"/>
  <c r="R31" s="1"/>
  <c r="BU24" i="1"/>
  <c r="AK7" i="7"/>
  <c r="BJ6"/>
  <c r="BI27" i="6"/>
  <c r="BI31" s="1"/>
  <c r="BI32"/>
  <c r="AT25"/>
  <c r="AN11" i="7"/>
  <c r="AN5" s="1"/>
  <c r="AT35" i="6"/>
  <c r="O11" i="7"/>
  <c r="U25" i="6"/>
  <c r="BC6" i="7"/>
  <c r="BC7"/>
  <c r="BT35" i="1"/>
  <c r="BT20" i="3"/>
  <c r="BT25" s="1"/>
  <c r="BN35" i="6"/>
  <c r="BN25"/>
  <c r="BH11" i="7"/>
  <c r="BH5" s="1"/>
  <c r="D28" i="2"/>
  <c r="D28" i="1"/>
  <c r="F33" i="2"/>
  <c r="F35" s="1"/>
  <c r="F41" s="1"/>
  <c r="E21"/>
  <c r="O32" i="3" l="1"/>
  <c r="P29" s="1"/>
  <c r="P32" s="1"/>
  <c r="Q29" s="1"/>
  <c r="Q32" s="1"/>
  <c r="R29" s="1"/>
  <c r="R32" s="1"/>
  <c r="BF27" i="6"/>
  <c r="BF31" s="1"/>
  <c r="BF32"/>
  <c r="F27"/>
  <c r="F31" s="1"/>
  <c r="F32"/>
  <c r="BU35" i="1"/>
  <c r="BB7" i="7"/>
  <c r="BB6"/>
  <c r="BA7"/>
  <c r="BA6"/>
  <c r="AZ7"/>
  <c r="AZ6"/>
  <c r="BG27" i="6"/>
  <c r="BG31" s="1"/>
  <c r="BG32"/>
  <c r="BH32"/>
  <c r="BH27"/>
  <c r="BH31" s="1"/>
  <c r="BN27"/>
  <c r="BN31" s="1"/>
  <c r="BN32"/>
  <c r="U27"/>
  <c r="U31" s="1"/>
  <c r="U32"/>
  <c r="AT32"/>
  <c r="AT27"/>
  <c r="AT31" s="1"/>
  <c r="BH7" i="7"/>
  <c r="BH6"/>
  <c r="AN7"/>
  <c r="AN6"/>
  <c r="E28" i="2"/>
  <c r="E28" i="1"/>
  <c r="AE29" i="3"/>
  <c r="AE32" s="1"/>
  <c r="AA32"/>
  <c r="AB29" s="1"/>
  <c r="AB32" s="1"/>
  <c r="AC29" s="1"/>
  <c r="AC32" s="1"/>
  <c r="AD29" s="1"/>
  <c r="AD32" s="1"/>
  <c r="AG29" s="1"/>
  <c r="H33" i="2"/>
  <c r="H35" s="1"/>
  <c r="H41" s="1"/>
  <c r="F21"/>
  <c r="F28" i="1" l="1"/>
  <c r="F28" i="2"/>
  <c r="AK29" i="3"/>
  <c r="AK32" s="1"/>
  <c r="AG32"/>
  <c r="AH29" s="1"/>
  <c r="AH32" s="1"/>
  <c r="AI29" s="1"/>
  <c r="AI32" s="1"/>
  <c r="AJ29" s="1"/>
  <c r="AJ32" s="1"/>
  <c r="AM29" s="1"/>
  <c r="I33" i="2"/>
  <c r="I35" s="1"/>
  <c r="I41" s="1"/>
  <c r="H21"/>
  <c r="I28" i="1" l="1"/>
  <c r="H28" i="2"/>
  <c r="AM32" i="3"/>
  <c r="AN29" s="1"/>
  <c r="AN32" s="1"/>
  <c r="AO29" s="1"/>
  <c r="AO32" s="1"/>
  <c r="AP29" s="1"/>
  <c r="AP32" s="1"/>
  <c r="AS29" s="1"/>
  <c r="AQ29"/>
  <c r="AQ32" s="1"/>
  <c r="J33" i="2"/>
  <c r="J35" s="1"/>
  <c r="J41" s="1"/>
  <c r="I21"/>
  <c r="I28" l="1"/>
  <c r="J28" i="1"/>
  <c r="K33" i="2"/>
  <c r="K35" s="1"/>
  <c r="K41" s="1"/>
  <c r="J21"/>
  <c r="AW29" i="3"/>
  <c r="AW32" s="1"/>
  <c r="AY29" s="1"/>
  <c r="AS32"/>
  <c r="AT29" s="1"/>
  <c r="AT32" s="1"/>
  <c r="AU29" s="1"/>
  <c r="AU32" s="1"/>
  <c r="AV29" s="1"/>
  <c r="AV32" s="1"/>
  <c r="K28" i="1" l="1"/>
  <c r="J28" i="2"/>
  <c r="AY32" i="3"/>
  <c r="AZ29" s="1"/>
  <c r="AZ32" s="1"/>
  <c r="BA29" s="1"/>
  <c r="BA32" s="1"/>
  <c r="BB29" s="1"/>
  <c r="BB32" s="1"/>
  <c r="BC29"/>
  <c r="BC32" s="1"/>
  <c r="BE29" s="1"/>
  <c r="M33" i="2"/>
  <c r="M35" s="1"/>
  <c r="M41" s="1"/>
  <c r="N33" s="1"/>
  <c r="N35" s="1"/>
  <c r="N41" s="1"/>
  <c r="O33" s="1"/>
  <c r="O35" s="1"/>
  <c r="O41" s="1"/>
  <c r="P33" s="1"/>
  <c r="P35" s="1"/>
  <c r="P41" s="1"/>
  <c r="K21"/>
  <c r="K28" l="1"/>
  <c r="L28" i="1"/>
  <c r="BI29" i="3"/>
  <c r="BI32" s="1"/>
  <c r="BK29" s="1"/>
  <c r="BE32"/>
  <c r="BF29" s="1"/>
  <c r="BF32" s="1"/>
  <c r="BG29" s="1"/>
  <c r="BG32" s="1"/>
  <c r="BH29" s="1"/>
  <c r="BH32" s="1"/>
  <c r="BO29" l="1"/>
  <c r="BO32" s="1"/>
  <c r="BK32"/>
  <c r="BL29" s="1"/>
  <c r="BL32" s="1"/>
  <c r="BM29" s="1"/>
  <c r="BM32" s="1"/>
  <c r="BN29" s="1"/>
  <c r="BN32" s="1"/>
  <c r="BQ29" s="1"/>
  <c r="BU29" l="1"/>
  <c r="BU32" s="1"/>
  <c r="BQ32"/>
  <c r="BR29" s="1"/>
  <c r="BR32" s="1"/>
  <c r="BS29" s="1"/>
  <c r="BS32" s="1"/>
  <c r="BT29" s="1"/>
  <c r="BT32" s="1"/>
  <c r="BW29" s="1"/>
  <c r="CA29" l="1"/>
  <c r="CA32" s="1"/>
  <c r="BW32"/>
  <c r="BX29" s="1"/>
  <c r="BX32" s="1"/>
  <c r="BY29" s="1"/>
  <c r="BY32" s="1"/>
  <c r="BZ29" s="1"/>
  <c r="BZ32" s="1"/>
  <c r="CC29" s="1"/>
  <c r="CC32" l="1"/>
  <c r="CD29" s="1"/>
  <c r="CD32" s="1"/>
  <c r="CE29" s="1"/>
  <c r="CE32" s="1"/>
  <c r="CF29" s="1"/>
  <c r="CF32" s="1"/>
  <c r="CI29" s="1"/>
  <c r="CG29"/>
  <c r="CG32" s="1"/>
  <c r="CI32" l="1"/>
  <c r="CJ29" s="1"/>
  <c r="CJ32" s="1"/>
  <c r="CK29" s="1"/>
  <c r="CK32" s="1"/>
  <c r="CL29" s="1"/>
  <c r="CL32" s="1"/>
  <c r="CO29" s="1"/>
  <c r="CM29"/>
  <c r="CM32" s="1"/>
  <c r="CS29" l="1"/>
  <c r="CS32" s="1"/>
  <c r="CO32"/>
</calcChain>
</file>

<file path=xl/comments1.xml><?xml version="1.0" encoding="utf-8"?>
<comments xmlns="http://schemas.openxmlformats.org/spreadsheetml/2006/main">
  <authors>
    <author>XX</author>
  </authors>
  <commentList>
    <comment ref="R10" authorId="0">
      <text>
        <r>
          <rPr>
            <b/>
            <sz val="8"/>
            <color indexed="81"/>
            <rFont val="Tahoma"/>
            <family val="2"/>
          </rPr>
          <t>NKT Integration: (19)
Priorparken: (6)</t>
        </r>
      </text>
    </comment>
    <comment ref="R15" authorId="0">
      <text>
        <r>
          <rPr>
            <b/>
            <sz val="8"/>
            <color indexed="81"/>
            <rFont val="Tahoma"/>
            <family val="2"/>
          </rPr>
          <t>Financial items: 4
Unrealized gain
on shares in AMSC
and IMA: +20</t>
        </r>
      </text>
    </comment>
    <comment ref="X15" authorId="0">
      <text>
        <r>
          <rPr>
            <sz val="8"/>
            <color indexed="81"/>
            <rFont val="Tahoma"/>
            <family val="2"/>
          </rPr>
          <t xml:space="preserve">Write up AMSC / IMA shares : +19
Other financial items: 0
</t>
        </r>
      </text>
    </comment>
    <comment ref="X18" authorId="0">
      <text>
        <r>
          <rPr>
            <sz val="8"/>
            <color indexed="81"/>
            <rFont val="Tahoma"/>
            <family val="2"/>
          </rPr>
          <t xml:space="preserve">Adj. Tax Asset: +50
Tax payable: (18)
</t>
        </r>
      </text>
    </comment>
  </commentList>
</comments>
</file>

<file path=xl/comments2.xml><?xml version="1.0" encoding="utf-8"?>
<comments xmlns="http://schemas.openxmlformats.org/spreadsheetml/2006/main">
  <authors>
    <author>XX</author>
  </authors>
  <commentList>
    <comment ref="V10" authorId="0">
      <text>
        <r>
          <rPr>
            <b/>
            <sz val="8"/>
            <color indexed="81"/>
            <rFont val="Tahoma"/>
            <family val="2"/>
          </rPr>
          <t>Incl (31) mDKK for acquisition of 30% of NKT Cables China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17" authorId="0">
      <text>
        <r>
          <rPr>
            <b/>
            <sz val="8"/>
            <color indexed="81"/>
            <rFont val="Tahoma"/>
            <family val="2"/>
          </rPr>
          <t>Incl +38 mDKK for reclassed shares in AMSC / IMA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17" authorId="0">
      <text>
        <r>
          <rPr>
            <b/>
            <sz val="8"/>
            <color indexed="81"/>
            <rFont val="Tahoma"/>
            <family val="2"/>
          </rPr>
          <t>Capitalization of NKT Flexibles (30)
Other investments (11)</t>
        </r>
      </text>
    </comment>
  </commentList>
</comments>
</file>

<file path=xl/comments3.xml><?xml version="1.0" encoding="utf-8"?>
<comments xmlns="http://schemas.openxmlformats.org/spreadsheetml/2006/main">
  <authors>
    <author>Thomas  Hofman-Bang</author>
    <author>XX</author>
  </authors>
  <commentList>
    <comment ref="L31" authorId="0">
      <text>
        <r>
          <rPr>
            <b/>
            <sz val="8"/>
            <color indexed="81"/>
            <rFont val="Tahoma"/>
            <family val="2"/>
          </rPr>
          <t>Operation: 28
Restructuring: (121)</t>
        </r>
      </text>
    </comment>
    <comment ref="M31" authorId="0">
      <text>
        <r>
          <rPr>
            <b/>
            <sz val="8"/>
            <color indexed="81"/>
            <rFont val="Tahoma"/>
            <family val="2"/>
          </rPr>
          <t>Operation: 109
Restructuring: (121)
Guidance 2003:
+/- 6% of revenue</t>
        </r>
      </text>
    </comment>
    <comment ref="M32" authorId="0">
      <text>
        <r>
          <rPr>
            <b/>
            <sz val="8"/>
            <color indexed="81"/>
            <rFont val="Tahoma"/>
            <family val="2"/>
          </rPr>
          <t>Guidance 2003:
&gt;9% of revenue</t>
        </r>
      </text>
    </comment>
    <comment ref="I33" authorId="0">
      <text>
        <r>
          <rPr>
            <b/>
            <sz val="8"/>
            <color indexed="81"/>
            <rFont val="Tahoma"/>
            <family val="2"/>
          </rPr>
          <t>Operation: 7
Gains: 60</t>
        </r>
      </text>
    </comment>
    <comment ref="J33" authorId="0">
      <text>
        <r>
          <rPr>
            <b/>
            <sz val="8"/>
            <color indexed="81"/>
            <rFont val="Tahoma"/>
            <family val="2"/>
          </rPr>
          <t>Operation: 8
Gains: 11</t>
        </r>
      </text>
    </comment>
    <comment ref="K33" authorId="0">
      <text>
        <r>
          <rPr>
            <b/>
            <sz val="8"/>
            <color indexed="81"/>
            <rFont val="Tahoma"/>
            <family val="2"/>
          </rPr>
          <t>Operation: 8
Gains: 39</t>
        </r>
      </text>
    </comment>
    <comment ref="L33" authorId="0">
      <text>
        <r>
          <rPr>
            <b/>
            <sz val="8"/>
            <color indexed="81"/>
            <rFont val="Tahoma"/>
            <family val="2"/>
          </rPr>
          <t>Operation: 5
Gains: 15</t>
        </r>
      </text>
    </comment>
    <comment ref="M33" authorId="0">
      <text>
        <r>
          <rPr>
            <b/>
            <sz val="8"/>
            <color indexed="81"/>
            <rFont val="Tahoma"/>
            <family val="2"/>
          </rPr>
          <t>Operation: 28
Gain from sale of real estate: 125</t>
        </r>
      </text>
    </comment>
    <comment ref="R33" authorId="1">
      <text>
        <r>
          <rPr>
            <b/>
            <sz val="10"/>
            <color indexed="81"/>
            <rFont val="Tahoma"/>
            <family val="2"/>
          </rPr>
          <t>Operations: 5
Reversal of
provisions: 9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34" authorId="0">
      <text>
        <r>
          <rPr>
            <b/>
            <sz val="8"/>
            <color indexed="81"/>
            <rFont val="Tahoma"/>
            <family val="2"/>
          </rPr>
          <t>Guidance 2003:
Break-even EBITDA</t>
        </r>
      </text>
    </comment>
    <comment ref="M35" authorId="0">
      <text>
        <r>
          <rPr>
            <b/>
            <sz val="8"/>
            <color indexed="81"/>
            <rFont val="Tahoma"/>
            <family val="2"/>
          </rPr>
          <t>NKT Integration: (36)
Development: (45)
Guidance 2003: +/- (70)</t>
        </r>
      </text>
    </comment>
    <comment ref="S35" authorId="1">
      <text>
        <r>
          <rPr>
            <b/>
            <sz val="8"/>
            <color indexed="81"/>
            <rFont val="Tahoma"/>
            <family val="2"/>
          </rPr>
          <t>NKT Integration: (46)
Development: (30)
Guidance 2004: +/- (60)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36" authorId="0">
      <text>
        <r>
          <rPr>
            <b/>
            <u/>
            <sz val="8"/>
            <color indexed="81"/>
            <rFont val="Tahoma"/>
            <family val="2"/>
          </rPr>
          <t>Continued business</t>
        </r>
        <r>
          <rPr>
            <b/>
            <sz val="8"/>
            <color indexed="81"/>
            <rFont val="Tahoma"/>
            <family val="2"/>
          </rPr>
          <t xml:space="preserve">
SMB: (12)
Cantion: (8)
</t>
        </r>
        <r>
          <rPr>
            <b/>
            <u/>
            <sz val="8"/>
            <color indexed="81"/>
            <rFont val="Tahoma"/>
            <family val="2"/>
          </rPr>
          <t>Discontinued business</t>
        </r>
        <r>
          <rPr>
            <b/>
            <sz val="8"/>
            <color indexed="81"/>
            <rFont val="Tahoma"/>
            <family val="2"/>
          </rPr>
          <t xml:space="preserve">
PicoSep: (7)
Watech: (3)
NST: (29)
Novator: (10)</t>
        </r>
      </text>
    </comment>
    <comment ref="O37" authorId="1">
      <text>
        <r>
          <rPr>
            <b/>
            <sz val="10"/>
            <color indexed="81"/>
            <rFont val="Tahoma"/>
            <family val="2"/>
          </rPr>
          <t>Operation: (3)
Gain on Watech
divestment: 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37" authorId="1">
      <text>
        <r>
          <rPr>
            <b/>
            <sz val="10"/>
            <color indexed="81"/>
            <rFont val="Tahoma"/>
            <family val="2"/>
          </rPr>
          <t>Opertation: (6)
Gain on SMB
divestment: +20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<sst xmlns="http://schemas.openxmlformats.org/spreadsheetml/2006/main" count="771" uniqueCount="220">
  <si>
    <t>Revenue</t>
  </si>
  <si>
    <t>EBITDA</t>
  </si>
  <si>
    <t>EBIT</t>
  </si>
  <si>
    <t>EBITA</t>
  </si>
  <si>
    <t>Financial items (net)</t>
  </si>
  <si>
    <t>PBT</t>
  </si>
  <si>
    <t>Income Tax</t>
  </si>
  <si>
    <t>Net result (Group)</t>
  </si>
  <si>
    <t>Minority interests</t>
  </si>
  <si>
    <t>Net result (NKT share)</t>
  </si>
  <si>
    <t>Q1</t>
  </si>
  <si>
    <t>Q2</t>
  </si>
  <si>
    <t>Q3</t>
  </si>
  <si>
    <t>Q4</t>
  </si>
  <si>
    <t>Total</t>
  </si>
  <si>
    <t>Balance Sheet</t>
  </si>
  <si>
    <t>Key figures</t>
  </si>
  <si>
    <t>Equity ratio</t>
  </si>
  <si>
    <t>Market price, DKK per share</t>
  </si>
  <si>
    <t>Equity value, DKK per share</t>
  </si>
  <si>
    <t>Dividend paid, DKK per share</t>
  </si>
  <si>
    <t>Earnings per share (EPS), DKK</t>
  </si>
  <si>
    <t>Assets</t>
  </si>
  <si>
    <t>Liabilities</t>
  </si>
  <si>
    <t>Receivables</t>
  </si>
  <si>
    <t>Securities</t>
  </si>
  <si>
    <t>Cash</t>
  </si>
  <si>
    <t>Total current assets</t>
  </si>
  <si>
    <t>Total assets</t>
  </si>
  <si>
    <t>Shareholders' equity</t>
  </si>
  <si>
    <t>Change in accounting policies</t>
  </si>
  <si>
    <t>Dividend paid</t>
  </si>
  <si>
    <t>Own shares / share options</t>
  </si>
  <si>
    <t>Change in interest-bearing items</t>
  </si>
  <si>
    <t>Net interestbearing items, ending balance</t>
  </si>
  <si>
    <t>Nilfisk-Advance</t>
  </si>
  <si>
    <t>Priorparken</t>
  </si>
  <si>
    <t>NKT Flexibles</t>
  </si>
  <si>
    <t>Parent company and eliminations</t>
  </si>
  <si>
    <t>Capital employed</t>
  </si>
  <si>
    <t>NKT Holding A/S</t>
  </si>
  <si>
    <t>Other companies</t>
  </si>
  <si>
    <t>EBITDA% - Group</t>
  </si>
  <si>
    <t xml:space="preserve"> - Nilfisk-Advance</t>
  </si>
  <si>
    <t>in quarters</t>
  </si>
  <si>
    <t>Treasury shares ('000)</t>
  </si>
  <si>
    <t>Outstanding shares (´000)</t>
  </si>
  <si>
    <t>EBITDA (Last 12 months)</t>
  </si>
  <si>
    <t>Real estate gains</t>
  </si>
  <si>
    <t>Restructuring provisions</t>
  </si>
  <si>
    <t>Industrial aktivities</t>
  </si>
  <si>
    <t>Technology activities</t>
  </si>
  <si>
    <t>Valuation</t>
  </si>
  <si>
    <t>EBITA% - Group</t>
  </si>
  <si>
    <t>Cashflow</t>
  </si>
  <si>
    <t>Deconsolidation NKT Flexibles</t>
  </si>
  <si>
    <t>Equity, opening balance</t>
  </si>
  <si>
    <t>Equity, ending balance</t>
  </si>
  <si>
    <t>Amortizations (Goodwill)</t>
  </si>
  <si>
    <t>Depreciation (TFA)</t>
  </si>
  <si>
    <t>Provisions (long term)</t>
  </si>
  <si>
    <t>*) adj. for non-rucurring items 2005 and onwards</t>
  </si>
  <si>
    <t>Gearing</t>
  </si>
  <si>
    <t xml:space="preserve"> </t>
  </si>
  <si>
    <t xml:space="preserve">  </t>
  </si>
  <si>
    <t>Q1-02</t>
  </si>
  <si>
    <t>Q2-02</t>
  </si>
  <si>
    <t>Q3-02</t>
  </si>
  <si>
    <t>Q4-02</t>
  </si>
  <si>
    <t>Q1-03</t>
  </si>
  <si>
    <t>Q2-03</t>
  </si>
  <si>
    <t>Q3-03</t>
  </si>
  <si>
    <t>Q4-03</t>
  </si>
  <si>
    <t>Q1-04</t>
  </si>
  <si>
    <t>Q2-04</t>
  </si>
  <si>
    <t>Q3-04</t>
  </si>
  <si>
    <t>Q4-04</t>
  </si>
  <si>
    <t>Q1-05</t>
  </si>
  <si>
    <t>Q2-06</t>
  </si>
  <si>
    <t>Q3-07</t>
  </si>
  <si>
    <t>Q2-05</t>
  </si>
  <si>
    <t>Q3-05</t>
  </si>
  <si>
    <t>Q4-06</t>
  </si>
  <si>
    <t>Q4-05</t>
  </si>
  <si>
    <t>Q1-06</t>
  </si>
  <si>
    <t>Q3-06</t>
  </si>
  <si>
    <t>Q1-07</t>
  </si>
  <si>
    <t>Q2-07</t>
  </si>
  <si>
    <t>LTM Revenue</t>
  </si>
  <si>
    <t>Dividend from NKT Flexibles</t>
  </si>
  <si>
    <t>RoCE% (Last 12 months) - Group *)</t>
  </si>
  <si>
    <t>Revenue, market</t>
  </si>
  <si>
    <t>Revenue, standard</t>
  </si>
  <si>
    <t>Q4-07</t>
  </si>
  <si>
    <t xml:space="preserve"> - NKT Cables *)</t>
  </si>
  <si>
    <t>Q1-08</t>
  </si>
  <si>
    <t>Parent company, other and eliminations</t>
  </si>
  <si>
    <t>Q2-08</t>
  </si>
  <si>
    <t>LTM Revenue, std.</t>
  </si>
  <si>
    <t>Q3-08</t>
  </si>
  <si>
    <t xml:space="preserve"> - NKT Cables, market prices</t>
  </si>
  <si>
    <t xml:space="preserve"> - NKT Cables, standard prices</t>
  </si>
  <si>
    <t>Q4-08</t>
  </si>
  <si>
    <t>In the event of any questions regarding interpretations of the content of the financial information</t>
  </si>
  <si>
    <t>IFRS</t>
  </si>
  <si>
    <t>Discontinued operations</t>
  </si>
  <si>
    <t>Cash flow from operating activities</t>
  </si>
  <si>
    <t>Net investment in tangible assets</t>
  </si>
  <si>
    <t>Intangible assets</t>
  </si>
  <si>
    <t>Tangible assets</t>
  </si>
  <si>
    <t>Other non-current assests</t>
  </si>
  <si>
    <t>Total non-current assets</t>
  </si>
  <si>
    <t>Inventories</t>
  </si>
  <si>
    <t>Other current liabilities</t>
  </si>
  <si>
    <t>Total equity and liabilities</t>
  </si>
  <si>
    <t>Equity changes</t>
  </si>
  <si>
    <t>Profit for the period</t>
  </si>
  <si>
    <t>Foreign exchange translation differences etc.</t>
  </si>
  <si>
    <t>Own shares/share options etc.</t>
  </si>
  <si>
    <t>Financial items, net</t>
  </si>
  <si>
    <t>Discontinued operation</t>
  </si>
  <si>
    <t xml:space="preserve">Change in working capital, </t>
  </si>
  <si>
    <t>Cash flows from operations</t>
  </si>
  <si>
    <t>Acquisition and disposal of tangible assets</t>
  </si>
  <si>
    <t>Cash flows from investment activites</t>
  </si>
  <si>
    <t>Total operating and investing activities</t>
  </si>
  <si>
    <t>DK GAAP</t>
  </si>
  <si>
    <t>NKT Cables, market prices</t>
  </si>
  <si>
    <t>Photonics Group</t>
  </si>
  <si>
    <t>NKT Cables, standard prices **)</t>
  </si>
  <si>
    <t>NKT Cables</t>
  </si>
  <si>
    <t xml:space="preserve">NKT Cables </t>
  </si>
  <si>
    <t>Q1-09</t>
  </si>
  <si>
    <t>Q2-09</t>
  </si>
  <si>
    <t>Q3-09</t>
  </si>
  <si>
    <t>Disclaimer:</t>
  </si>
  <si>
    <t>NIBD/operational EBITDA</t>
  </si>
  <si>
    <t>Adjustments: (LTM)</t>
  </si>
  <si>
    <t>Operational EBITDA (LTM)</t>
  </si>
  <si>
    <t>Q4-09</t>
  </si>
  <si>
    <t>Total shareholders equity, after adjustments</t>
  </si>
  <si>
    <t xml:space="preserve">  non-cash operatiing items etc.</t>
  </si>
  <si>
    <t>Q1-10</t>
  </si>
  <si>
    <t>Q2-10</t>
  </si>
  <si>
    <t>Q3-10</t>
  </si>
  <si>
    <t>Paid to minority interests</t>
  </si>
  <si>
    <t>Q4-10</t>
  </si>
  <si>
    <t>Q1-11</t>
  </si>
  <si>
    <t>NKT Flexibles (share of profit)</t>
  </si>
  <si>
    <t>Q2-11</t>
  </si>
  <si>
    <t>NKT Flexibles (NKT share)</t>
  </si>
  <si>
    <t>Non-current credit institutions</t>
  </si>
  <si>
    <t>Current credit institutions</t>
  </si>
  <si>
    <t>Q3-11</t>
  </si>
  <si>
    <t>Q4-11</t>
  </si>
  <si>
    <t>Assets held for sale</t>
  </si>
  <si>
    <t>Net interest bearing assets/(debt)</t>
  </si>
  <si>
    <t>Q1-12</t>
  </si>
  <si>
    <t>Q2-12</t>
  </si>
  <si>
    <t>Q3-12</t>
  </si>
  <si>
    <t>Q4-12</t>
  </si>
  <si>
    <t>Dividend paid (adopted at AGM)</t>
  </si>
  <si>
    <t>Net interest bearing items, opening balance</t>
  </si>
  <si>
    <t>Discontinued operation, NKT Flexibles</t>
  </si>
  <si>
    <t>Operational EBITDA LTM, Group</t>
  </si>
  <si>
    <t>Operational EBITDA LTM, NKT Flexibles</t>
  </si>
  <si>
    <t>Actuarial gain/loss defined benefit obligations pensions</t>
  </si>
  <si>
    <t>Q1-13</t>
  </si>
  <si>
    <t>Q2-13</t>
  </si>
  <si>
    <t>Q3-13</t>
  </si>
  <si>
    <t>Q4-13</t>
  </si>
  <si>
    <t>Q1-14</t>
  </si>
  <si>
    <t>Q2-14</t>
  </si>
  <si>
    <t>Q3-14</t>
  </si>
  <si>
    <t>NKT Holding A/S releases financial information via Nasdaq Copenhagen.</t>
  </si>
  <si>
    <t>contained on the following pages, the information released to Nasdaq Copenhagen shall prevail.</t>
  </si>
  <si>
    <t>Total Revenue, standard prices</t>
  </si>
  <si>
    <t>Q4-14</t>
  </si>
  <si>
    <t>Oper. EBITDA% - Group, std. prices</t>
  </si>
  <si>
    <t xml:space="preserve"> - NKT Cables, std. prices</t>
  </si>
  <si>
    <t xml:space="preserve"> - Photonics Group</t>
  </si>
  <si>
    <t xml:space="preserve"> - Nilfisk</t>
  </si>
  <si>
    <t>Operational EBITDA *)</t>
  </si>
  <si>
    <t>Income Statement (DKKm)</t>
  </si>
  <si>
    <t>Balance Sheet (DKKm)</t>
  </si>
  <si>
    <t>Cash flow (DKKm)</t>
  </si>
  <si>
    <t>Segment Data (DKKm)</t>
  </si>
  <si>
    <t>Nilfisk</t>
  </si>
  <si>
    <t xml:space="preserve"> - Nilfisk *)</t>
  </si>
  <si>
    <t>Valuation (DKKm)</t>
  </si>
  <si>
    <t>Minority interests (DKKm)</t>
  </si>
  <si>
    <t>Net interest bearing debt (DKKm)</t>
  </si>
  <si>
    <t>2001 to 2015</t>
  </si>
  <si>
    <t>Q1-15</t>
  </si>
  <si>
    <r>
      <t>Key Figures</t>
    </r>
    <r>
      <rPr>
        <sz val="20"/>
        <rFont val="Arial"/>
        <family val="2"/>
        <scheme val="minor"/>
      </rPr>
      <t xml:space="preserve"> (unaudited)</t>
    </r>
  </si>
  <si>
    <t>Amortisation (R&amp;D etc.)</t>
  </si>
  <si>
    <t>Currency translation etc.</t>
  </si>
  <si>
    <t>Other investment, etc.</t>
  </si>
  <si>
    <t>Market capitalisation (DKKm)</t>
  </si>
  <si>
    <t>Other gains etc.</t>
  </si>
  <si>
    <t>Share capital</t>
  </si>
  <si>
    <t>Shareholder equity (NKT shareholder)</t>
  </si>
  <si>
    <t>Write downs &amp; impairments</t>
  </si>
  <si>
    <t>Impairments (goodwill)</t>
  </si>
  <si>
    <t>Total equity</t>
  </si>
  <si>
    <t>Paid to / received from minority interests</t>
  </si>
  <si>
    <t>Acquisitions / divestments</t>
  </si>
  <si>
    <t>**) Standard metalprices at 1,550 EUR/tonne for copper and 1,350 EUR/tonne for aluminium</t>
  </si>
  <si>
    <t>Enterprise value (DKKm)</t>
  </si>
  <si>
    <t>Gain submarine plant</t>
  </si>
  <si>
    <t>Annualising acquisitions.</t>
  </si>
  <si>
    <t>EV / Operational EBITDA (total)</t>
  </si>
  <si>
    <t>EV / Operational EBITDA (industrial activities)</t>
  </si>
  <si>
    <t>Oper. EBITDA LTM DKKm (continued oper.)</t>
  </si>
  <si>
    <t>Oper. EBITDA% LTM (continued oper.)</t>
  </si>
  <si>
    <t>Oper. EBITDA% LTM, std. (continued oper.)</t>
  </si>
  <si>
    <t>The following pages are intended to summarise previously released financial information.</t>
  </si>
  <si>
    <t>Number of DKK 20 shares ('000)</t>
  </si>
  <si>
    <t>(DKKm)</t>
  </si>
  <si>
    <t>Q2-15</t>
  </si>
</sst>
</file>

<file path=xl/styles.xml><?xml version="1.0" encoding="utf-8"?>
<styleSheet xmlns="http://schemas.openxmlformats.org/spreadsheetml/2006/main">
  <numFmts count="7">
    <numFmt numFmtId="164" formatCode="_(* #,##0.00_);_(* \(#,##0.00\);_(* &quot;-&quot;??_);_(@_)"/>
    <numFmt numFmtId="165" formatCode="0.0"/>
    <numFmt numFmtId="166" formatCode="0.0%"/>
    <numFmt numFmtId="167" formatCode="0.0\x"/>
    <numFmt numFmtId="168" formatCode="_(* #,##0_);_(* \(#,##0\);_(* &quot;-&quot;??_);_(@_)"/>
    <numFmt numFmtId="169" formatCode="_(* #,##0.0_);_(* \(#,##0.0\);_(* &quot;-&quot;??_);_(@_)"/>
    <numFmt numFmtId="170" formatCode="#,##0.0;\-#,##0.0"/>
  </numFmts>
  <fonts count="25">
    <font>
      <sz val="10"/>
      <name val="Arial"/>
    </font>
    <font>
      <sz val="10"/>
      <name val="Arial"/>
      <family val="2"/>
    </font>
    <font>
      <b/>
      <sz val="8"/>
      <color indexed="81"/>
      <name val="Tahoma"/>
      <family val="2"/>
    </font>
    <font>
      <b/>
      <u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indexed="81"/>
      <name val="Tahoma"/>
      <family val="2"/>
    </font>
    <font>
      <sz val="8"/>
      <name val="Arial"/>
      <family val="2"/>
    </font>
    <font>
      <b/>
      <sz val="1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name val="Arial"/>
      <family val="2"/>
      <scheme val="minor"/>
    </font>
    <font>
      <b/>
      <u/>
      <sz val="10"/>
      <name val="Arial"/>
      <family val="2"/>
      <scheme val="minor"/>
    </font>
    <font>
      <b/>
      <i/>
      <sz val="10"/>
      <name val="Arial"/>
      <family val="2"/>
      <scheme val="minor"/>
    </font>
    <font>
      <sz val="10"/>
      <color rgb="FFFF0000"/>
      <name val="Arial"/>
      <family val="2"/>
      <scheme val="minor"/>
    </font>
    <font>
      <sz val="10"/>
      <name val="Arial"/>
      <family val="2"/>
      <scheme val="major"/>
    </font>
    <font>
      <sz val="36"/>
      <name val="Arial"/>
      <family val="2"/>
      <scheme val="minor"/>
    </font>
    <font>
      <sz val="20"/>
      <name val="Arial"/>
      <family val="2"/>
      <scheme val="minor"/>
    </font>
    <font>
      <b/>
      <sz val="10"/>
      <color theme="0"/>
      <name val="Arial"/>
      <family val="2"/>
      <scheme val="major"/>
    </font>
    <font>
      <b/>
      <sz val="10"/>
      <name val="Arial"/>
      <family val="2"/>
      <scheme val="major"/>
    </font>
    <font>
      <b/>
      <sz val="10"/>
      <color theme="4"/>
      <name val="Arial"/>
      <family val="2"/>
      <scheme val="minor"/>
    </font>
    <font>
      <sz val="10"/>
      <color theme="4"/>
      <name val="Arial"/>
      <family val="2"/>
      <scheme val="minor"/>
    </font>
    <font>
      <b/>
      <sz val="10"/>
      <color theme="5"/>
      <name val="Arial"/>
      <family val="2"/>
      <scheme val="minor"/>
    </font>
    <font>
      <sz val="10"/>
      <color theme="5"/>
      <name val="Arial"/>
      <family val="2"/>
      <scheme val="minor"/>
    </font>
    <font>
      <i/>
      <sz val="10"/>
      <name val="Arial"/>
      <family val="2"/>
      <scheme val="minor"/>
    </font>
    <font>
      <b/>
      <sz val="10"/>
      <color theme="5"/>
      <name val="Arial"/>
      <family val="2"/>
      <scheme val="major"/>
    </font>
    <font>
      <b/>
      <sz val="10"/>
      <color theme="4"/>
      <name val="Arial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E3EAF7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/>
      <top style="hair">
        <color indexed="64"/>
      </top>
      <bottom style="medium">
        <color theme="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1">
    <xf numFmtId="0" fontId="0" fillId="0" borderId="0" xfId="0"/>
    <xf numFmtId="0" fontId="7" fillId="0" borderId="0" xfId="0" applyFont="1" applyFill="1"/>
    <xf numFmtId="0" fontId="9" fillId="0" borderId="0" xfId="0" applyFont="1"/>
    <xf numFmtId="0" fontId="9" fillId="0" borderId="0" xfId="0" applyFont="1" applyFill="1"/>
    <xf numFmtId="0" fontId="7" fillId="0" borderId="0" xfId="0" applyFont="1" applyFill="1" applyBorder="1"/>
    <xf numFmtId="0" fontId="11" fillId="0" borderId="0" xfId="0" applyFont="1" applyFill="1"/>
    <xf numFmtId="0" fontId="7" fillId="0" borderId="0" xfId="0" applyFont="1"/>
    <xf numFmtId="37" fontId="7" fillId="0" borderId="2" xfId="0" applyNumberFormat="1" applyFont="1" applyBorder="1"/>
    <xf numFmtId="37" fontId="7" fillId="0" borderId="0" xfId="0" applyNumberFormat="1" applyFont="1" applyFill="1" applyBorder="1"/>
    <xf numFmtId="37" fontId="9" fillId="0" borderId="0" xfId="0" applyNumberFormat="1" applyFont="1"/>
    <xf numFmtId="37" fontId="7" fillId="0" borderId="0" xfId="0" applyNumberFormat="1" applyFont="1"/>
    <xf numFmtId="37" fontId="9" fillId="0" borderId="0" xfId="0" applyNumberFormat="1" applyFont="1" applyFill="1"/>
    <xf numFmtId="37" fontId="7" fillId="0" borderId="3" xfId="0" applyNumberFormat="1" applyFont="1" applyBorder="1"/>
    <xf numFmtId="37" fontId="9" fillId="0" borderId="0" xfId="0" applyNumberFormat="1" applyFont="1" applyBorder="1"/>
    <xf numFmtId="10" fontId="9" fillId="0" borderId="0" xfId="0" applyNumberFormat="1" applyFont="1"/>
    <xf numFmtId="9" fontId="9" fillId="0" borderId="0" xfId="2" applyFont="1"/>
    <xf numFmtId="9" fontId="7" fillId="0" borderId="0" xfId="2" applyFont="1" applyFill="1" applyBorder="1"/>
    <xf numFmtId="9" fontId="9" fillId="3" borderId="0" xfId="2" applyFont="1" applyFill="1"/>
    <xf numFmtId="9" fontId="9" fillId="0" borderId="0" xfId="2" applyFont="1" applyFill="1"/>
    <xf numFmtId="168" fontId="9" fillId="0" borderId="0" xfId="1" applyNumberFormat="1" applyFont="1" applyFill="1"/>
    <xf numFmtId="168" fontId="9" fillId="0" borderId="0" xfId="1" applyNumberFormat="1" applyFont="1"/>
    <xf numFmtId="165" fontId="9" fillId="0" borderId="0" xfId="0" applyNumberFormat="1" applyFont="1"/>
    <xf numFmtId="165" fontId="7" fillId="0" borderId="0" xfId="0" applyNumberFormat="1" applyFont="1" applyFill="1" applyBorder="1"/>
    <xf numFmtId="165" fontId="9" fillId="0" borderId="0" xfId="0" applyNumberFormat="1" applyFont="1" applyFill="1"/>
    <xf numFmtId="165" fontId="9" fillId="3" borderId="0" xfId="0" applyNumberFormat="1" applyFont="1" applyFill="1"/>
    <xf numFmtId="0" fontId="9" fillId="3" borderId="0" xfId="0" applyFont="1" applyFill="1"/>
    <xf numFmtId="1" fontId="9" fillId="0" borderId="0" xfId="0" applyNumberFormat="1" applyFont="1" applyFill="1"/>
    <xf numFmtId="37" fontId="9" fillId="3" borderId="0" xfId="0" applyNumberFormat="1" applyFont="1" applyFill="1"/>
    <xf numFmtId="164" fontId="9" fillId="0" borderId="0" xfId="1" applyFont="1"/>
    <xf numFmtId="168" fontId="9" fillId="0" borderId="0" xfId="0" applyNumberFormat="1" applyFont="1"/>
    <xf numFmtId="169" fontId="9" fillId="0" borderId="0" xfId="0" applyNumberFormat="1" applyFont="1"/>
    <xf numFmtId="0" fontId="9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0" xfId="0" applyFont="1" applyBorder="1"/>
    <xf numFmtId="1" fontId="9" fillId="0" borderId="0" xfId="0" applyNumberFormat="1" applyFont="1"/>
    <xf numFmtId="0" fontId="12" fillId="0" borderId="0" xfId="0" applyFont="1" applyFill="1"/>
    <xf numFmtId="37" fontId="7" fillId="0" borderId="1" xfId="0" applyNumberFormat="1" applyFont="1" applyBorder="1"/>
    <xf numFmtId="37" fontId="7" fillId="0" borderId="0" xfId="0" applyNumberFormat="1" applyFont="1" applyFill="1"/>
    <xf numFmtId="37" fontId="9" fillId="0" borderId="0" xfId="0" applyNumberFormat="1" applyFont="1" applyFill="1" applyBorder="1"/>
    <xf numFmtId="37" fontId="7" fillId="0" borderId="3" xfId="0" applyNumberFormat="1" applyFont="1" applyFill="1" applyBorder="1"/>
    <xf numFmtId="9" fontId="9" fillId="0" borderId="0" xfId="0" applyNumberFormat="1" applyFont="1"/>
    <xf numFmtId="0" fontId="10" fillId="0" borderId="0" xfId="0" applyFont="1"/>
    <xf numFmtId="0" fontId="7" fillId="0" borderId="1" xfId="0" applyFont="1" applyBorder="1"/>
    <xf numFmtId="37" fontId="7" fillId="0" borderId="0" xfId="0" applyNumberFormat="1" applyFont="1" applyBorder="1"/>
    <xf numFmtId="0" fontId="7" fillId="0" borderId="0" xfId="0" applyFont="1" applyBorder="1"/>
    <xf numFmtId="37" fontId="9" fillId="2" borderId="0" xfId="0" applyNumberFormat="1" applyFont="1" applyFill="1" applyBorder="1"/>
    <xf numFmtId="37" fontId="9" fillId="3" borderId="0" xfId="0" applyNumberFormat="1" applyFont="1" applyFill="1" applyBorder="1"/>
    <xf numFmtId="166" fontId="7" fillId="0" borderId="0" xfId="2" applyNumberFormat="1" applyFont="1" applyBorder="1"/>
    <xf numFmtId="37" fontId="9" fillId="0" borderId="0" xfId="0" applyNumberFormat="1" applyFont="1" applyAlignment="1">
      <alignment horizontal="right"/>
    </xf>
    <xf numFmtId="166" fontId="7" fillId="0" borderId="0" xfId="2" applyNumberFormat="1" applyFont="1" applyFill="1" applyBorder="1"/>
    <xf numFmtId="0" fontId="9" fillId="4" borderId="0" xfId="0" applyFont="1" applyFill="1"/>
    <xf numFmtId="0" fontId="9" fillId="0" borderId="0" xfId="0" applyFont="1" applyAlignment="1">
      <alignment wrapText="1"/>
    </xf>
    <xf numFmtId="170" fontId="9" fillId="0" borderId="0" xfId="0" applyNumberFormat="1" applyFont="1"/>
    <xf numFmtId="0" fontId="9" fillId="0" borderId="0" xfId="0" applyFont="1" applyAlignment="1">
      <alignment vertical="top" wrapText="1"/>
    </xf>
    <xf numFmtId="167" fontId="9" fillId="0" borderId="0" xfId="0" applyNumberFormat="1" applyFont="1"/>
    <xf numFmtId="167" fontId="9" fillId="0" borderId="0" xfId="0" applyNumberFormat="1" applyFont="1" applyFill="1"/>
    <xf numFmtId="37" fontId="7" fillId="0" borderId="0" xfId="0" quotePrefix="1" applyNumberFormat="1" applyFont="1"/>
    <xf numFmtId="37" fontId="9" fillId="0" borderId="0" xfId="0" quotePrefix="1" applyNumberFormat="1" applyFont="1"/>
    <xf numFmtId="0" fontId="13" fillId="0" borderId="0" xfId="0" applyFont="1"/>
    <xf numFmtId="37" fontId="13" fillId="0" borderId="0" xfId="0" applyNumberFormat="1" applyFont="1" applyFill="1"/>
    <xf numFmtId="166" fontId="13" fillId="0" borderId="0" xfId="2" applyNumberFormat="1" applyFont="1"/>
    <xf numFmtId="37" fontId="13" fillId="0" borderId="0" xfId="0" applyNumberFormat="1" applyFont="1"/>
    <xf numFmtId="37" fontId="13" fillId="0" borderId="0" xfId="0" quotePrefix="1" applyNumberFormat="1" applyFont="1"/>
    <xf numFmtId="0" fontId="14" fillId="0" borderId="0" xfId="0" applyFont="1" applyAlignment="1"/>
    <xf numFmtId="0" fontId="14" fillId="0" borderId="0" xfId="0" applyFont="1" applyAlignment="1">
      <alignment horizontal="center"/>
    </xf>
    <xf numFmtId="0" fontId="9" fillId="0" borderId="0" xfId="0" applyNumberFormat="1" applyFont="1"/>
    <xf numFmtId="0" fontId="7" fillId="0" borderId="4" xfId="0" applyFont="1" applyFill="1" applyBorder="1"/>
    <xf numFmtId="0" fontId="9" fillId="0" borderId="4" xfId="0" applyFont="1" applyBorder="1"/>
    <xf numFmtId="0" fontId="9" fillId="0" borderId="4" xfId="0" applyFont="1" applyFill="1" applyBorder="1"/>
    <xf numFmtId="0" fontId="7" fillId="6" borderId="0" xfId="0" applyFont="1" applyFill="1"/>
    <xf numFmtId="37" fontId="7" fillId="6" borderId="2" xfId="0" applyNumberFormat="1" applyFont="1" applyFill="1" applyBorder="1"/>
    <xf numFmtId="37" fontId="7" fillId="6" borderId="0" xfId="0" applyNumberFormat="1" applyFont="1" applyFill="1"/>
    <xf numFmtId="9" fontId="7" fillId="6" borderId="0" xfId="2" applyFont="1" applyFill="1"/>
    <xf numFmtId="165" fontId="7" fillId="6" borderId="0" xfId="0" applyNumberFormat="1" applyFont="1" applyFill="1"/>
    <xf numFmtId="37" fontId="9" fillId="6" borderId="0" xfId="0" applyNumberFormat="1" applyFont="1" applyFill="1"/>
    <xf numFmtId="9" fontId="9" fillId="6" borderId="0" xfId="2" applyFont="1" applyFill="1"/>
    <xf numFmtId="0" fontId="7" fillId="0" borderId="2" xfId="0" applyFont="1" applyBorder="1"/>
    <xf numFmtId="0" fontId="7" fillId="0" borderId="2" xfId="0" applyFont="1" applyFill="1" applyBorder="1"/>
    <xf numFmtId="37" fontId="7" fillId="0" borderId="2" xfId="0" applyNumberFormat="1" applyFont="1" applyFill="1" applyBorder="1"/>
    <xf numFmtId="37" fontId="7" fillId="6" borderId="0" xfId="0" applyNumberFormat="1" applyFont="1" applyFill="1" applyBorder="1"/>
    <xf numFmtId="0" fontId="9" fillId="0" borderId="2" xfId="0" applyFont="1" applyBorder="1"/>
    <xf numFmtId="0" fontId="9" fillId="0" borderId="2" xfId="0" applyFont="1" applyFill="1" applyBorder="1"/>
    <xf numFmtId="0" fontId="18" fillId="0" borderId="5" xfId="0" applyFont="1" applyFill="1" applyBorder="1"/>
    <xf numFmtId="0" fontId="20" fillId="0" borderId="5" xfId="0" applyFont="1" applyFill="1" applyBorder="1"/>
    <xf numFmtId="0" fontId="20" fillId="0" borderId="5" xfId="0" applyFont="1" applyFill="1" applyBorder="1" applyAlignment="1">
      <alignment horizontal="right"/>
    </xf>
    <xf numFmtId="0" fontId="21" fillId="0" borderId="5" xfId="0" applyFont="1" applyFill="1" applyBorder="1"/>
    <xf numFmtId="0" fontId="19" fillId="0" borderId="0" xfId="0" applyFont="1" applyBorder="1"/>
    <xf numFmtId="0" fontId="9" fillId="0" borderId="6" xfId="0" applyFont="1" applyBorder="1"/>
    <xf numFmtId="0" fontId="9" fillId="0" borderId="6" xfId="0" applyFont="1" applyFill="1" applyBorder="1"/>
    <xf numFmtId="37" fontId="9" fillId="0" borderId="6" xfId="0" applyNumberFormat="1" applyFont="1" applyBorder="1"/>
    <xf numFmtId="37" fontId="7" fillId="6" borderId="6" xfId="0" applyNumberFormat="1" applyFont="1" applyFill="1" applyBorder="1"/>
    <xf numFmtId="37" fontId="7" fillId="0" borderId="6" xfId="0" applyNumberFormat="1" applyFont="1" applyFill="1" applyBorder="1"/>
    <xf numFmtId="37" fontId="9" fillId="0" borderId="6" xfId="0" applyNumberFormat="1" applyFont="1" applyFill="1" applyBorder="1"/>
    <xf numFmtId="37" fontId="9" fillId="6" borderId="6" xfId="0" applyNumberFormat="1" applyFont="1" applyFill="1" applyBorder="1"/>
    <xf numFmtId="0" fontId="7" fillId="0" borderId="7" xfId="0" applyFont="1" applyBorder="1"/>
    <xf numFmtId="0" fontId="7" fillId="0" borderId="7" xfId="0" applyFont="1" applyFill="1" applyBorder="1"/>
    <xf numFmtId="37" fontId="7" fillId="0" borderId="7" xfId="0" applyNumberFormat="1" applyFont="1" applyBorder="1"/>
    <xf numFmtId="37" fontId="7" fillId="6" borderId="7" xfId="0" applyNumberFormat="1" applyFont="1" applyFill="1" applyBorder="1"/>
    <xf numFmtId="37" fontId="7" fillId="0" borderId="7" xfId="0" applyNumberFormat="1" applyFont="1" applyFill="1" applyBorder="1"/>
    <xf numFmtId="1" fontId="7" fillId="0" borderId="7" xfId="0" applyNumberFormat="1" applyFont="1" applyBorder="1"/>
    <xf numFmtId="0" fontId="8" fillId="0" borderId="2" xfId="0" applyFont="1" applyFill="1" applyBorder="1" applyAlignment="1">
      <alignment horizontal="right"/>
    </xf>
    <xf numFmtId="0" fontId="7" fillId="6" borderId="2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37" fontId="9" fillId="0" borderId="7" xfId="0" applyNumberFormat="1" applyFont="1" applyBorder="1"/>
    <xf numFmtId="37" fontId="9" fillId="6" borderId="7" xfId="0" applyNumberFormat="1" applyFont="1" applyFill="1" applyBorder="1"/>
    <xf numFmtId="0" fontId="7" fillId="6" borderId="4" xfId="0" applyFont="1" applyFill="1" applyBorder="1"/>
    <xf numFmtId="0" fontId="9" fillId="3" borderId="4" xfId="0" applyFont="1" applyFill="1" applyBorder="1"/>
    <xf numFmtId="37" fontId="9" fillId="3" borderId="4" xfId="0" applyNumberFormat="1" applyFont="1" applyFill="1" applyBorder="1"/>
    <xf numFmtId="37" fontId="9" fillId="0" borderId="4" xfId="0" applyNumberFormat="1" applyFont="1" applyFill="1" applyBorder="1"/>
    <xf numFmtId="0" fontId="9" fillId="6" borderId="4" xfId="0" applyFont="1" applyFill="1" applyBorder="1"/>
    <xf numFmtId="0" fontId="7" fillId="0" borderId="0" xfId="0" applyFont="1" applyFill="1" applyAlignment="1">
      <alignment horizontal="center"/>
    </xf>
    <xf numFmtId="37" fontId="7" fillId="0" borderId="4" xfId="0" applyNumberFormat="1" applyFont="1" applyFill="1" applyBorder="1"/>
    <xf numFmtId="0" fontId="7" fillId="0" borderId="4" xfId="0" applyFont="1" applyBorder="1"/>
    <xf numFmtId="37" fontId="9" fillId="0" borderId="4" xfId="0" applyNumberFormat="1" applyFont="1" applyBorder="1"/>
    <xf numFmtId="0" fontId="7" fillId="0" borderId="6" xfId="0" applyFont="1" applyBorder="1"/>
    <xf numFmtId="37" fontId="9" fillId="3" borderId="6" xfId="0" applyNumberFormat="1" applyFont="1" applyFill="1" applyBorder="1"/>
    <xf numFmtId="0" fontId="9" fillId="0" borderId="8" xfId="0" applyFont="1" applyBorder="1"/>
    <xf numFmtId="0" fontId="9" fillId="0" borderId="8" xfId="0" applyFont="1" applyFill="1" applyBorder="1"/>
    <xf numFmtId="37" fontId="9" fillId="0" borderId="8" xfId="0" applyNumberFormat="1" applyFont="1" applyBorder="1"/>
    <xf numFmtId="37" fontId="7" fillId="0" borderId="8" xfId="0" applyNumberFormat="1" applyFont="1" applyFill="1" applyBorder="1"/>
    <xf numFmtId="0" fontId="7" fillId="0" borderId="8" xfId="0" applyFont="1" applyBorder="1"/>
    <xf numFmtId="0" fontId="9" fillId="0" borderId="7" xfId="0" applyFont="1" applyBorder="1"/>
    <xf numFmtId="0" fontId="9" fillId="0" borderId="7" xfId="0" applyFont="1" applyFill="1" applyBorder="1"/>
    <xf numFmtId="0" fontId="9" fillId="6" borderId="0" xfId="0" applyFont="1" applyFill="1"/>
    <xf numFmtId="37" fontId="9" fillId="6" borderId="8" xfId="0" applyNumberFormat="1" applyFont="1" applyFill="1" applyBorder="1"/>
    <xf numFmtId="37" fontId="9" fillId="6" borderId="0" xfId="0" applyNumberFormat="1" applyFont="1" applyFill="1" applyBorder="1"/>
    <xf numFmtId="0" fontId="7" fillId="6" borderId="0" xfId="0" applyFont="1" applyFill="1" applyAlignment="1">
      <alignment horizontal="center"/>
    </xf>
    <xf numFmtId="0" fontId="8" fillId="6" borderId="2" xfId="0" applyFont="1" applyFill="1" applyBorder="1" applyAlignment="1">
      <alignment horizontal="right"/>
    </xf>
    <xf numFmtId="37" fontId="9" fillId="6" borderId="4" xfId="0" applyNumberFormat="1" applyFont="1" applyFill="1" applyBorder="1"/>
    <xf numFmtId="0" fontId="9" fillId="6" borderId="0" xfId="0" applyFont="1" applyFill="1" applyBorder="1"/>
    <xf numFmtId="0" fontId="18" fillId="0" borderId="0" xfId="0" applyFont="1" applyFill="1"/>
    <xf numFmtId="0" fontId="20" fillId="0" borderId="0" xfId="0" applyFont="1" applyFill="1"/>
    <xf numFmtId="0" fontId="20" fillId="0" borderId="0" xfId="0" applyFont="1" applyFill="1" applyBorder="1" applyAlignment="1">
      <alignment horizontal="right"/>
    </xf>
    <xf numFmtId="0" fontId="20" fillId="0" borderId="0" xfId="0" applyFont="1" applyFill="1" applyAlignment="1">
      <alignment horizontal="right"/>
    </xf>
    <xf numFmtId="0" fontId="21" fillId="0" borderId="0" xfId="0" applyFont="1" applyFill="1"/>
    <xf numFmtId="37" fontId="7" fillId="6" borderId="1" xfId="0" applyNumberFormat="1" applyFont="1" applyFill="1" applyBorder="1"/>
    <xf numFmtId="37" fontId="7" fillId="6" borderId="3" xfId="0" applyNumberFormat="1" applyFont="1" applyFill="1" applyBorder="1"/>
    <xf numFmtId="0" fontId="11" fillId="0" borderId="0" xfId="0" applyFont="1" applyFill="1" applyBorder="1"/>
    <xf numFmtId="0" fontId="9" fillId="0" borderId="10" xfId="0" applyFont="1" applyBorder="1"/>
    <xf numFmtId="0" fontId="9" fillId="0" borderId="10" xfId="0" applyFont="1" applyFill="1" applyBorder="1"/>
    <xf numFmtId="0" fontId="7" fillId="0" borderId="10" xfId="0" applyFont="1" applyBorder="1"/>
    <xf numFmtId="0" fontId="7" fillId="0" borderId="10" xfId="0" applyFont="1" applyFill="1" applyBorder="1"/>
    <xf numFmtId="166" fontId="7" fillId="0" borderId="10" xfId="2" applyNumberFormat="1" applyFont="1" applyBorder="1"/>
    <xf numFmtId="166" fontId="7" fillId="0" borderId="10" xfId="2" applyNumberFormat="1" applyFont="1" applyFill="1" applyBorder="1"/>
    <xf numFmtId="37" fontId="7" fillId="0" borderId="10" xfId="0" applyNumberFormat="1" applyFont="1" applyFill="1" applyBorder="1"/>
    <xf numFmtId="37" fontId="9" fillId="0" borderId="10" xfId="0" applyNumberFormat="1" applyFont="1" applyBorder="1"/>
    <xf numFmtId="168" fontId="7" fillId="0" borderId="10" xfId="1" applyNumberFormat="1" applyFont="1" applyBorder="1"/>
    <xf numFmtId="0" fontId="13" fillId="0" borderId="10" xfId="0" applyFont="1" applyBorder="1"/>
    <xf numFmtId="0" fontId="7" fillId="0" borderId="11" xfId="0" applyFont="1" applyBorder="1"/>
    <xf numFmtId="0" fontId="7" fillId="0" borderId="11" xfId="0" applyFont="1" applyFill="1" applyBorder="1"/>
    <xf numFmtId="37" fontId="7" fillId="0" borderId="11" xfId="0" applyNumberFormat="1" applyFont="1" applyBorder="1"/>
    <xf numFmtId="37" fontId="7" fillId="6" borderId="11" xfId="0" applyNumberFormat="1" applyFont="1" applyFill="1" applyBorder="1"/>
    <xf numFmtId="37" fontId="7" fillId="0" borderId="11" xfId="0" applyNumberFormat="1" applyFont="1" applyFill="1" applyBorder="1"/>
    <xf numFmtId="0" fontId="9" fillId="0" borderId="11" xfId="0" applyFont="1" applyBorder="1"/>
    <xf numFmtId="0" fontId="7" fillId="0" borderId="12" xfId="0" applyFont="1" applyBorder="1"/>
    <xf numFmtId="0" fontId="7" fillId="0" borderId="12" xfId="0" applyFont="1" applyFill="1" applyBorder="1"/>
    <xf numFmtId="37" fontId="7" fillId="0" borderId="12" xfId="0" applyNumberFormat="1" applyFont="1" applyFill="1" applyBorder="1"/>
    <xf numFmtId="0" fontId="9" fillId="0" borderId="12" xfId="0" applyFont="1" applyBorder="1"/>
    <xf numFmtId="37" fontId="7" fillId="0" borderId="12" xfId="0" applyNumberFormat="1" applyFont="1" applyBorder="1"/>
    <xf numFmtId="37" fontId="7" fillId="6" borderId="12" xfId="0" applyNumberFormat="1" applyFont="1" applyFill="1" applyBorder="1"/>
    <xf numFmtId="0" fontId="9" fillId="0" borderId="3" xfId="0" applyFont="1" applyBorder="1"/>
    <xf numFmtId="0" fontId="9" fillId="0" borderId="3" xfId="0" applyFont="1" applyFill="1" applyBorder="1"/>
    <xf numFmtId="37" fontId="9" fillId="0" borderId="3" xfId="0" applyNumberFormat="1" applyFont="1" applyBorder="1"/>
    <xf numFmtId="37" fontId="9" fillId="0" borderId="3" xfId="0" applyNumberFormat="1" applyFont="1" applyFill="1" applyBorder="1"/>
    <xf numFmtId="0" fontId="7" fillId="0" borderId="3" xfId="0" applyFont="1" applyBorder="1"/>
    <xf numFmtId="0" fontId="9" fillId="0" borderId="9" xfId="0" applyFont="1" applyBorder="1"/>
    <xf numFmtId="0" fontId="9" fillId="0" borderId="9" xfId="0" applyFont="1" applyFill="1" applyBorder="1"/>
    <xf numFmtId="0" fontId="7" fillId="6" borderId="9" xfId="0" applyFont="1" applyFill="1" applyBorder="1"/>
    <xf numFmtId="0" fontId="7" fillId="0" borderId="9" xfId="0" applyFont="1" applyFill="1" applyBorder="1"/>
    <xf numFmtId="0" fontId="18" fillId="0" borderId="0" xfId="0" applyFont="1" applyFill="1" applyBorder="1"/>
    <xf numFmtId="0" fontId="20" fillId="0" borderId="0" xfId="0" applyFont="1" applyFill="1" applyBorder="1"/>
    <xf numFmtId="166" fontId="7" fillId="6" borderId="0" xfId="2" applyNumberFormat="1" applyFont="1" applyFill="1" applyBorder="1"/>
    <xf numFmtId="0" fontId="17" fillId="0" borderId="0" xfId="0" applyFont="1"/>
    <xf numFmtId="37" fontId="7" fillId="3" borderId="7" xfId="0" applyNumberFormat="1" applyFont="1" applyFill="1" applyBorder="1"/>
    <xf numFmtId="1" fontId="7" fillId="0" borderId="12" xfId="0" applyNumberFormat="1" applyFont="1" applyBorder="1"/>
    <xf numFmtId="0" fontId="9" fillId="6" borderId="3" xfId="0" applyFont="1" applyFill="1" applyBorder="1"/>
    <xf numFmtId="37" fontId="9" fillId="3" borderId="3" xfId="0" applyNumberFormat="1" applyFont="1" applyFill="1" applyBorder="1"/>
    <xf numFmtId="0" fontId="7" fillId="0" borderId="3" xfId="0" applyFont="1" applyFill="1" applyBorder="1"/>
    <xf numFmtId="166" fontId="7" fillId="0" borderId="3" xfId="2" applyNumberFormat="1" applyFont="1" applyBorder="1"/>
    <xf numFmtId="166" fontId="7" fillId="6" borderId="3" xfId="2" applyNumberFormat="1" applyFont="1" applyFill="1" applyBorder="1"/>
    <xf numFmtId="37" fontId="7" fillId="3" borderId="3" xfId="0" applyNumberFormat="1" applyFont="1" applyFill="1" applyBorder="1"/>
    <xf numFmtId="37" fontId="7" fillId="3" borderId="12" xfId="0" applyNumberFormat="1" applyFont="1" applyFill="1" applyBorder="1"/>
    <xf numFmtId="166" fontId="7" fillId="0" borderId="3" xfId="2" applyNumberFormat="1" applyFont="1" applyFill="1" applyBorder="1"/>
    <xf numFmtId="10" fontId="9" fillId="0" borderId="3" xfId="0" applyNumberFormat="1" applyFont="1" applyBorder="1"/>
    <xf numFmtId="10" fontId="9" fillId="0" borderId="3" xfId="0" applyNumberFormat="1" applyFont="1" applyFill="1" applyBorder="1"/>
    <xf numFmtId="0" fontId="22" fillId="0" borderId="0" xfId="0" applyFont="1"/>
    <xf numFmtId="37" fontId="9" fillId="3" borderId="7" xfId="0" applyNumberFormat="1" applyFont="1" applyFill="1" applyBorder="1"/>
    <xf numFmtId="0" fontId="7" fillId="0" borderId="0" xfId="0" applyFont="1" applyFill="1" applyAlignment="1"/>
    <xf numFmtId="0" fontId="7" fillId="6" borderId="0" xfId="0" applyFont="1" applyFill="1" applyAlignment="1"/>
    <xf numFmtId="0" fontId="8" fillId="0" borderId="0" xfId="0" applyFont="1" applyFill="1" applyAlignment="1"/>
    <xf numFmtId="0" fontId="8" fillId="6" borderId="0" xfId="0" applyFont="1" applyFill="1" applyAlignment="1"/>
    <xf numFmtId="0" fontId="7" fillId="6" borderId="12" xfId="0" applyFont="1" applyFill="1" applyBorder="1"/>
    <xf numFmtId="1" fontId="9" fillId="6" borderId="0" xfId="0" applyNumberFormat="1" applyFont="1" applyFill="1"/>
    <xf numFmtId="1" fontId="7" fillId="6" borderId="12" xfId="0" applyNumberFormat="1" applyFont="1" applyFill="1" applyBorder="1"/>
    <xf numFmtId="167" fontId="9" fillId="6" borderId="0" xfId="0" applyNumberFormat="1" applyFont="1" applyFill="1"/>
    <xf numFmtId="10" fontId="9" fillId="6" borderId="3" xfId="0" applyNumberFormat="1" applyFont="1" applyFill="1" applyBorder="1"/>
    <xf numFmtId="37" fontId="9" fillId="6" borderId="3" xfId="0" applyNumberFormat="1" applyFont="1" applyFill="1" applyBorder="1"/>
    <xf numFmtId="0" fontId="13" fillId="0" borderId="0" xfId="0" applyFont="1" applyBorder="1"/>
    <xf numFmtId="37" fontId="13" fillId="0" borderId="0" xfId="0" applyNumberFormat="1" applyFont="1" applyFill="1" applyBorder="1"/>
    <xf numFmtId="0" fontId="13" fillId="0" borderId="0" xfId="0" applyFont="1" applyFill="1" applyBorder="1"/>
    <xf numFmtId="0" fontId="24" fillId="0" borderId="0" xfId="0" applyFont="1" applyFill="1" applyBorder="1"/>
    <xf numFmtId="0" fontId="23" fillId="0" borderId="0" xfId="0" applyFont="1" applyFill="1" applyBorder="1" applyAlignment="1">
      <alignment horizontal="right"/>
    </xf>
    <xf numFmtId="0" fontId="23" fillId="0" borderId="0" xfId="0" applyFont="1" applyFill="1" applyBorder="1"/>
    <xf numFmtId="0" fontId="24" fillId="0" borderId="5" xfId="0" applyFont="1" applyFill="1" applyBorder="1"/>
    <xf numFmtId="0" fontId="23" fillId="0" borderId="5" xfId="0" applyFont="1" applyFill="1" applyBorder="1" applyAlignment="1">
      <alignment horizontal="right"/>
    </xf>
    <xf numFmtId="0" fontId="23" fillId="0" borderId="5" xfId="0" applyFont="1" applyFill="1" applyBorder="1"/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5" borderId="0" xfId="0" applyFont="1" applyFill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16" fillId="5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E3EAF7"/>
      <color rgb="FFB2CFED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b="1">
                <a:solidFill>
                  <a:schemeClr val="accent1"/>
                </a:solidFill>
              </a:defRPr>
            </a:pPr>
            <a:r>
              <a:rPr lang="da-DK" sz="1400" b="1">
                <a:solidFill>
                  <a:schemeClr val="accent1"/>
                </a:solidFill>
              </a:rPr>
              <a:t>Operational</a:t>
            </a:r>
            <a:r>
              <a:rPr lang="da-DK" sz="1400" b="1" baseline="0">
                <a:solidFill>
                  <a:schemeClr val="accent1"/>
                </a:solidFill>
              </a:rPr>
              <a:t> EBITDA (LTM)</a:t>
            </a:r>
            <a:endParaRPr lang="da-DK" sz="1400" b="1">
              <a:solidFill>
                <a:schemeClr val="accent1"/>
              </a:solidFill>
            </a:endParaRPr>
          </a:p>
        </c:rich>
      </c:tx>
      <c:layout>
        <c:manualLayout>
          <c:xMode val="edge"/>
          <c:yMode val="edge"/>
          <c:x val="1.0431852034905474E-3"/>
          <c:y val="0"/>
        </c:manualLayout>
      </c:layout>
    </c:title>
    <c:plotArea>
      <c:layout>
        <c:manualLayout>
          <c:layoutTarget val="inner"/>
          <c:xMode val="edge"/>
          <c:yMode val="edge"/>
          <c:x val="6.9563564076954312E-2"/>
          <c:y val="0.19058842784244909"/>
          <c:w val="0.86940746580656658"/>
          <c:h val="0.5703721906705026"/>
        </c:manualLayout>
      </c:layout>
      <c:barChart>
        <c:barDir val="col"/>
        <c:grouping val="clustered"/>
        <c:ser>
          <c:idx val="1"/>
          <c:order val="0"/>
          <c:tx>
            <c:strRef>
              <c:f>'Operational EBITDA'!$A$5</c:f>
              <c:strCache>
                <c:ptCount val="1"/>
                <c:pt idx="0">
                  <c:v>Oper. EBITDA LTM DKKm (continued oper.)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cat>
            <c:strRef>
              <c:f>'Operational EBITDA'!$AP$3:$BP$3</c:f>
              <c:strCache>
                <c:ptCount val="27"/>
                <c:pt idx="0">
                  <c:v>Q1-10</c:v>
                </c:pt>
                <c:pt idx="1">
                  <c:v>Q2-10</c:v>
                </c:pt>
                <c:pt idx="2">
                  <c:v>Q3-10</c:v>
                </c:pt>
                <c:pt idx="3">
                  <c:v>Q4-10</c:v>
                </c:pt>
                <c:pt idx="5">
                  <c:v>Q1-11</c:v>
                </c:pt>
                <c:pt idx="6">
                  <c:v>Q2-11</c:v>
                </c:pt>
                <c:pt idx="7">
                  <c:v>Q3-11</c:v>
                </c:pt>
                <c:pt idx="8">
                  <c:v>Q4-11</c:v>
                </c:pt>
                <c:pt idx="10">
                  <c:v>Q1-12</c:v>
                </c:pt>
                <c:pt idx="11">
                  <c:v>Q2-12</c:v>
                </c:pt>
                <c:pt idx="12">
                  <c:v>Q3-12</c:v>
                </c:pt>
                <c:pt idx="13">
                  <c:v>Q4-12</c:v>
                </c:pt>
                <c:pt idx="15">
                  <c:v>Q1-13</c:v>
                </c:pt>
                <c:pt idx="16">
                  <c:v>Q2-13</c:v>
                </c:pt>
                <c:pt idx="17">
                  <c:v>Q3-13</c:v>
                </c:pt>
                <c:pt idx="18">
                  <c:v>Q4-13</c:v>
                </c:pt>
                <c:pt idx="20">
                  <c:v>Q1-14</c:v>
                </c:pt>
                <c:pt idx="21">
                  <c:v>Q2-14</c:v>
                </c:pt>
                <c:pt idx="22">
                  <c:v>Q3-14</c:v>
                </c:pt>
                <c:pt idx="23">
                  <c:v>Q4-14</c:v>
                </c:pt>
                <c:pt idx="25">
                  <c:v>Q1-15</c:v>
                </c:pt>
                <c:pt idx="26">
                  <c:v>Q2-15</c:v>
                </c:pt>
              </c:strCache>
            </c:strRef>
          </c:cat>
          <c:val>
            <c:numRef>
              <c:f>'Operational EBITDA'!$AP$5:$BP$5</c:f>
              <c:numCache>
                <c:formatCode>#,##0;\-#,##0</c:formatCode>
                <c:ptCount val="27"/>
                <c:pt idx="0">
                  <c:v>908</c:v>
                </c:pt>
                <c:pt idx="1">
                  <c:v>916</c:v>
                </c:pt>
                <c:pt idx="2">
                  <c:v>951</c:v>
                </c:pt>
                <c:pt idx="3">
                  <c:v>895</c:v>
                </c:pt>
                <c:pt idx="5">
                  <c:v>869</c:v>
                </c:pt>
                <c:pt idx="6">
                  <c:v>808</c:v>
                </c:pt>
                <c:pt idx="7">
                  <c:v>775</c:v>
                </c:pt>
                <c:pt idx="8">
                  <c:v>878</c:v>
                </c:pt>
                <c:pt idx="10">
                  <c:v>914</c:v>
                </c:pt>
                <c:pt idx="11">
                  <c:v>956</c:v>
                </c:pt>
                <c:pt idx="12">
                  <c:v>981</c:v>
                </c:pt>
                <c:pt idx="13">
                  <c:v>1039</c:v>
                </c:pt>
                <c:pt idx="15">
                  <c:v>1026</c:v>
                </c:pt>
                <c:pt idx="16">
                  <c:v>1068</c:v>
                </c:pt>
                <c:pt idx="17">
                  <c:v>1073</c:v>
                </c:pt>
                <c:pt idx="18">
                  <c:v>1085</c:v>
                </c:pt>
                <c:pt idx="20">
                  <c:v>1122</c:v>
                </c:pt>
                <c:pt idx="21">
                  <c:v>1166</c:v>
                </c:pt>
                <c:pt idx="22">
                  <c:v>1180</c:v>
                </c:pt>
                <c:pt idx="23">
                  <c:v>1269</c:v>
                </c:pt>
                <c:pt idx="25">
                  <c:v>1298</c:v>
                </c:pt>
                <c:pt idx="26">
                  <c:v>1415</c:v>
                </c:pt>
              </c:numCache>
            </c:numRef>
          </c:val>
        </c:ser>
        <c:gapWidth val="75"/>
        <c:overlap val="-25"/>
        <c:axId val="112277760"/>
        <c:axId val="112296320"/>
      </c:barChart>
      <c:lineChart>
        <c:grouping val="standard"/>
        <c:ser>
          <c:idx val="0"/>
          <c:order val="1"/>
          <c:tx>
            <c:strRef>
              <c:f>'Operational EBITDA'!$A$6</c:f>
              <c:strCache>
                <c:ptCount val="1"/>
                <c:pt idx="0">
                  <c:v>Oper. EBITDA% LTM (continued oper.)</c:v>
                </c:pt>
              </c:strCache>
            </c:strRef>
          </c:tx>
          <c:spPr>
            <a:ln w="28575">
              <a:solidFill>
                <a:schemeClr val="accent2"/>
              </a:solidFill>
              <a:prstDash val="solid"/>
            </a:ln>
          </c:spPr>
          <c:marker>
            <c:symbol val="circle"/>
            <c:size val="6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strRef>
              <c:f>'Operational EBITDA'!$AP$3:$BP$3</c:f>
              <c:strCache>
                <c:ptCount val="27"/>
                <c:pt idx="0">
                  <c:v>Q1-10</c:v>
                </c:pt>
                <c:pt idx="1">
                  <c:v>Q2-10</c:v>
                </c:pt>
                <c:pt idx="2">
                  <c:v>Q3-10</c:v>
                </c:pt>
                <c:pt idx="3">
                  <c:v>Q4-10</c:v>
                </c:pt>
                <c:pt idx="5">
                  <c:v>Q1-11</c:v>
                </c:pt>
                <c:pt idx="6">
                  <c:v>Q2-11</c:v>
                </c:pt>
                <c:pt idx="7">
                  <c:v>Q3-11</c:v>
                </c:pt>
                <c:pt idx="8">
                  <c:v>Q4-11</c:v>
                </c:pt>
                <c:pt idx="10">
                  <c:v>Q1-12</c:v>
                </c:pt>
                <c:pt idx="11">
                  <c:v>Q2-12</c:v>
                </c:pt>
                <c:pt idx="12">
                  <c:v>Q3-12</c:v>
                </c:pt>
                <c:pt idx="13">
                  <c:v>Q4-12</c:v>
                </c:pt>
                <c:pt idx="15">
                  <c:v>Q1-13</c:v>
                </c:pt>
                <c:pt idx="16">
                  <c:v>Q2-13</c:v>
                </c:pt>
                <c:pt idx="17">
                  <c:v>Q3-13</c:v>
                </c:pt>
                <c:pt idx="18">
                  <c:v>Q4-13</c:v>
                </c:pt>
                <c:pt idx="20">
                  <c:v>Q1-14</c:v>
                </c:pt>
                <c:pt idx="21">
                  <c:v>Q2-14</c:v>
                </c:pt>
                <c:pt idx="22">
                  <c:v>Q3-14</c:v>
                </c:pt>
                <c:pt idx="23">
                  <c:v>Q4-14</c:v>
                </c:pt>
                <c:pt idx="25">
                  <c:v>Q1-15</c:v>
                </c:pt>
                <c:pt idx="26">
                  <c:v>Q2-15</c:v>
                </c:pt>
              </c:strCache>
            </c:strRef>
          </c:cat>
          <c:val>
            <c:numRef>
              <c:f>'Operational EBITDA'!$AP$6:$BP$6</c:f>
              <c:numCache>
                <c:formatCode>0.0%</c:formatCode>
                <c:ptCount val="27"/>
                <c:pt idx="0">
                  <c:v>7.4954597985801549E-2</c:v>
                </c:pt>
                <c:pt idx="1">
                  <c:v>7.2669575565251887E-2</c:v>
                </c:pt>
                <c:pt idx="2">
                  <c:v>7.124129148250806E-2</c:v>
                </c:pt>
                <c:pt idx="3">
                  <c:v>6.1933430212442048E-2</c:v>
                </c:pt>
                <c:pt idx="5">
                  <c:v>5.7306779213927725E-2</c:v>
                </c:pt>
                <c:pt idx="6">
                  <c:v>5.198147195059187E-2</c:v>
                </c:pt>
                <c:pt idx="7">
                  <c:v>4.9265780942088867E-2</c:v>
                </c:pt>
                <c:pt idx="8">
                  <c:v>5.6267623686234301E-2</c:v>
                </c:pt>
                <c:pt idx="10">
                  <c:v>5.9501334548531994E-2</c:v>
                </c:pt>
                <c:pt idx="11">
                  <c:v>6.2692635582661152E-2</c:v>
                </c:pt>
                <c:pt idx="12">
                  <c:v>6.4739655513759653E-2</c:v>
                </c:pt>
                <c:pt idx="13">
                  <c:v>6.8117747328394415E-2</c:v>
                </c:pt>
                <c:pt idx="15">
                  <c:v>6.7362615717943664E-2</c:v>
                </c:pt>
                <c:pt idx="16">
                  <c:v>6.9508623494956068E-2</c:v>
                </c:pt>
                <c:pt idx="17">
                  <c:v>6.8667605273262516E-2</c:v>
                </c:pt>
                <c:pt idx="18">
                  <c:v>6.8631792017205387E-2</c:v>
                </c:pt>
                <c:pt idx="20">
                  <c:v>6.9409217445097426E-2</c:v>
                </c:pt>
                <c:pt idx="21">
                  <c:v>7.2175796966883324E-2</c:v>
                </c:pt>
                <c:pt idx="22">
                  <c:v>7.3639540688966554E-2</c:v>
                </c:pt>
                <c:pt idx="23">
                  <c:v>7.9997478408875999E-2</c:v>
                </c:pt>
                <c:pt idx="25">
                  <c:v>8.03118425937384E-2</c:v>
                </c:pt>
                <c:pt idx="26">
                  <c:v>8.5215296597410423E-2</c:v>
                </c:pt>
              </c:numCache>
            </c:numRef>
          </c:val>
        </c:ser>
        <c:ser>
          <c:idx val="2"/>
          <c:order val="2"/>
          <c:tx>
            <c:strRef>
              <c:f>'Operational EBITDA'!$A$7</c:f>
              <c:strCache>
                <c:ptCount val="1"/>
                <c:pt idx="0">
                  <c:v>Oper. EBITDA% LTM, std. (continued oper.)</c:v>
                </c:pt>
              </c:strCache>
            </c:strRef>
          </c:tx>
          <c:spPr>
            <a:ln w="28575">
              <a:solidFill>
                <a:schemeClr val="tx2"/>
              </a:solidFill>
              <a:prstDash val="solid"/>
            </a:ln>
          </c:spPr>
          <c:marker>
            <c:symbol val="circle"/>
            <c:size val="6"/>
            <c:spPr>
              <a:solidFill>
                <a:schemeClr val="tx2"/>
              </a:solidFill>
              <a:ln>
                <a:solidFill>
                  <a:schemeClr val="tx2"/>
                </a:solidFill>
                <a:prstDash val="solid"/>
              </a:ln>
            </c:spPr>
          </c:marker>
          <c:cat>
            <c:strRef>
              <c:f>'Operational EBITDA'!$AP$3:$BP$3</c:f>
              <c:strCache>
                <c:ptCount val="27"/>
                <c:pt idx="0">
                  <c:v>Q1-10</c:v>
                </c:pt>
                <c:pt idx="1">
                  <c:v>Q2-10</c:v>
                </c:pt>
                <c:pt idx="2">
                  <c:v>Q3-10</c:v>
                </c:pt>
                <c:pt idx="3">
                  <c:v>Q4-10</c:v>
                </c:pt>
                <c:pt idx="5">
                  <c:v>Q1-11</c:v>
                </c:pt>
                <c:pt idx="6">
                  <c:v>Q2-11</c:v>
                </c:pt>
                <c:pt idx="7">
                  <c:v>Q3-11</c:v>
                </c:pt>
                <c:pt idx="8">
                  <c:v>Q4-11</c:v>
                </c:pt>
                <c:pt idx="10">
                  <c:v>Q1-12</c:v>
                </c:pt>
                <c:pt idx="11">
                  <c:v>Q2-12</c:v>
                </c:pt>
                <c:pt idx="12">
                  <c:v>Q3-12</c:v>
                </c:pt>
                <c:pt idx="13">
                  <c:v>Q4-12</c:v>
                </c:pt>
                <c:pt idx="15">
                  <c:v>Q1-13</c:v>
                </c:pt>
                <c:pt idx="16">
                  <c:v>Q2-13</c:v>
                </c:pt>
                <c:pt idx="17">
                  <c:v>Q3-13</c:v>
                </c:pt>
                <c:pt idx="18">
                  <c:v>Q4-13</c:v>
                </c:pt>
                <c:pt idx="20">
                  <c:v>Q1-14</c:v>
                </c:pt>
                <c:pt idx="21">
                  <c:v>Q2-14</c:v>
                </c:pt>
                <c:pt idx="22">
                  <c:v>Q3-14</c:v>
                </c:pt>
                <c:pt idx="23">
                  <c:v>Q4-14</c:v>
                </c:pt>
                <c:pt idx="25">
                  <c:v>Q1-15</c:v>
                </c:pt>
                <c:pt idx="26">
                  <c:v>Q2-15</c:v>
                </c:pt>
              </c:strCache>
            </c:strRef>
          </c:cat>
          <c:val>
            <c:numRef>
              <c:f>'Operational EBITDA'!$AP$7:$BP$7</c:f>
              <c:numCache>
                <c:formatCode>0.0%</c:formatCode>
                <c:ptCount val="27"/>
                <c:pt idx="0">
                  <c:v>8.9892089892089896E-2</c:v>
                </c:pt>
                <c:pt idx="1">
                  <c:v>8.8391392453922607E-2</c:v>
                </c:pt>
                <c:pt idx="2">
                  <c:v>8.7706354329982472E-2</c:v>
                </c:pt>
                <c:pt idx="3">
                  <c:v>7.7975257013416968E-2</c:v>
                </c:pt>
                <c:pt idx="5">
                  <c:v>7.3345712356515866E-2</c:v>
                </c:pt>
                <c:pt idx="6">
                  <c:v>6.7496449753571136E-2</c:v>
                </c:pt>
                <c:pt idx="7">
                  <c:v>6.4288676897552882E-2</c:v>
                </c:pt>
                <c:pt idx="8">
                  <c:v>7.2257427372232744E-2</c:v>
                </c:pt>
                <c:pt idx="10">
                  <c:v>7.5574665123201587E-2</c:v>
                </c:pt>
                <c:pt idx="11">
                  <c:v>7.903439153439154E-2</c:v>
                </c:pt>
                <c:pt idx="12">
                  <c:v>8.1040892193308553E-2</c:v>
                </c:pt>
                <c:pt idx="13">
                  <c:v>8.5528482054659197E-2</c:v>
                </c:pt>
                <c:pt idx="15">
                  <c:v>8.4091467912466189E-2</c:v>
                </c:pt>
                <c:pt idx="16">
                  <c:v>8.6226384627805588E-2</c:v>
                </c:pt>
                <c:pt idx="17">
                  <c:v>8.4943001899936671E-2</c:v>
                </c:pt>
                <c:pt idx="18">
                  <c:v>8.448181888966752E-2</c:v>
                </c:pt>
                <c:pt idx="20">
                  <c:v>8.5238927296209077E-2</c:v>
                </c:pt>
                <c:pt idx="21">
                  <c:v>8.8093079480205505E-2</c:v>
                </c:pt>
                <c:pt idx="22">
                  <c:v>8.9157536834151868E-2</c:v>
                </c:pt>
                <c:pt idx="23">
                  <c:v>9.6282245827010629E-2</c:v>
                </c:pt>
                <c:pt idx="25">
                  <c:v>9.631938260611457E-2</c:v>
                </c:pt>
                <c:pt idx="26">
                  <c:v>0.10236562251320264</c:v>
                </c:pt>
              </c:numCache>
            </c:numRef>
          </c:val>
        </c:ser>
        <c:marker val="1"/>
        <c:axId val="112297856"/>
        <c:axId val="112299392"/>
      </c:lineChart>
      <c:catAx>
        <c:axId val="112277760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296320"/>
        <c:crosses val="autoZero"/>
        <c:lblAlgn val="ctr"/>
        <c:lblOffset val="100"/>
        <c:tickLblSkip val="1"/>
        <c:tickMarkSkip val="1"/>
      </c:catAx>
      <c:valAx>
        <c:axId val="112296320"/>
        <c:scaling>
          <c:orientation val="minMax"/>
        </c:scaling>
        <c:axPos val="l"/>
        <c:numFmt formatCode="#,##0;\-#,##0" sourceLinked="1"/>
        <c:maj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277760"/>
        <c:crosses val="autoZero"/>
        <c:crossBetween val="between"/>
      </c:valAx>
      <c:catAx>
        <c:axId val="112297856"/>
        <c:scaling>
          <c:orientation val="minMax"/>
        </c:scaling>
        <c:delete val="1"/>
        <c:axPos val="b"/>
        <c:tickLblPos val="none"/>
        <c:crossAx val="112299392"/>
        <c:crosses val="autoZero"/>
        <c:lblAlgn val="ctr"/>
        <c:lblOffset val="100"/>
      </c:catAx>
      <c:valAx>
        <c:axId val="112299392"/>
        <c:scaling>
          <c:orientation val="minMax"/>
          <c:max val="0.15000000000000024"/>
          <c:min val="3.0000000000000002E-2"/>
        </c:scaling>
        <c:axPos val="r"/>
        <c:numFmt formatCode="0%" sourceLinked="0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297856"/>
        <c:crosses val="max"/>
        <c:crossBetween val="between"/>
        <c:majorUnit val="3.0000000000000002E-2"/>
      </c:valAx>
      <c:spPr>
        <a:noFill/>
        <a:ln w="25400">
          <a:noFill/>
        </a:ln>
      </c:spPr>
    </c:plotArea>
    <c:legend>
      <c:legendPos val="b"/>
      <c:layout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833" r="0.75000000000000833" t="1" header="0.5" footer="0.5"/>
    <c:pageSetup paperSize="9" orientation="landscape" horizontalDpi="-3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330200</xdr:colOff>
      <xdr:row>20</xdr:row>
      <xdr:rowOff>50800</xdr:rowOff>
    </xdr:from>
    <xdr:to>
      <xdr:col>4</xdr:col>
      <xdr:colOff>412750</xdr:colOff>
      <xdr:row>21</xdr:row>
      <xdr:rowOff>88900</xdr:rowOff>
    </xdr:to>
    <xdr:sp macro="" textlink="">
      <xdr:nvSpPr>
        <xdr:cNvPr id="7306" name="Text Box 1"/>
        <xdr:cNvSpPr txBox="1">
          <a:spLocks noChangeArrowheads="1"/>
        </xdr:cNvSpPr>
      </xdr:nvSpPr>
      <xdr:spPr bwMode="auto">
        <a:xfrm>
          <a:off x="2895600" y="4953000"/>
          <a:ext cx="82550" cy="203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180975</xdr:colOff>
      <xdr:row>20</xdr:row>
      <xdr:rowOff>9525</xdr:rowOff>
    </xdr:from>
    <xdr:to>
      <xdr:col>3</xdr:col>
      <xdr:colOff>495300</xdr:colOff>
      <xdr:row>22</xdr:row>
      <xdr:rowOff>50290</xdr:rowOff>
    </xdr:to>
    <xdr:pic>
      <xdr:nvPicPr>
        <xdr:cNvPr id="5" name="Picture 4" descr="NKT-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7325" y="4848225"/>
          <a:ext cx="952500" cy="364615"/>
        </a:xfrm>
        <a:prstGeom prst="rect">
          <a:avLst/>
        </a:prstGeom>
      </xdr:spPr>
    </xdr:pic>
    <xdr:clientData/>
  </xdr:twoCellAnchor>
  <xdr:twoCellAnchor>
    <xdr:from>
      <xdr:col>2</xdr:col>
      <xdr:colOff>228599</xdr:colOff>
      <xdr:row>1</xdr:row>
      <xdr:rowOff>123825</xdr:rowOff>
    </xdr:from>
    <xdr:to>
      <xdr:col>11</xdr:col>
      <xdr:colOff>409574</xdr:colOff>
      <xdr:row>17</xdr:row>
      <xdr:rowOff>133350</xdr:rowOff>
    </xdr:to>
    <xdr:sp macro="" textlink="">
      <xdr:nvSpPr>
        <xdr:cNvPr id="6" name="Rectangle 5"/>
        <xdr:cNvSpPr/>
      </xdr:nvSpPr>
      <xdr:spPr>
        <a:xfrm>
          <a:off x="1504949" y="285750"/>
          <a:ext cx="6505575" cy="4200525"/>
        </a:xfrm>
        <a:prstGeom prst="rect">
          <a:avLst/>
        </a:prstGeom>
        <a:noFill/>
        <a:ln w="127000">
          <a:solidFill>
            <a:schemeClr val="accent1"/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a-D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67468</xdr:colOff>
      <xdr:row>15</xdr:row>
      <xdr:rowOff>127000</xdr:rowOff>
    </xdr:from>
    <xdr:to>
      <xdr:col>64</xdr:col>
      <xdr:colOff>368300</xdr:colOff>
      <xdr:row>41</xdr:row>
      <xdr:rowOff>62706</xdr:rowOff>
    </xdr:to>
    <xdr:graphicFrame macro="">
      <xdr:nvGraphicFramePr>
        <xdr:cNvPr id="83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52</xdr:col>
      <xdr:colOff>107950</xdr:colOff>
      <xdr:row>17</xdr:row>
      <xdr:rowOff>123825</xdr:rowOff>
    </xdr:from>
    <xdr:to>
      <xdr:col>64</xdr:col>
      <xdr:colOff>279400</xdr:colOff>
      <xdr:row>17</xdr:row>
      <xdr:rowOff>133350</xdr:rowOff>
    </xdr:to>
    <xdr:cxnSp macro="">
      <xdr:nvCxnSpPr>
        <xdr:cNvPr id="4" name="Straight Connector 3"/>
        <xdr:cNvCxnSpPr/>
      </xdr:nvCxnSpPr>
      <xdr:spPr>
        <a:xfrm flipV="1">
          <a:off x="31127700" y="2924175"/>
          <a:ext cx="6927850" cy="9525"/>
        </a:xfrm>
        <a:prstGeom prst="line">
          <a:avLst/>
        </a:prstGeom>
        <a:ln w="38100">
          <a:solidFill>
            <a:schemeClr val="accent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212725</xdr:colOff>
      <xdr:row>41</xdr:row>
      <xdr:rowOff>53975</xdr:rowOff>
    </xdr:from>
    <xdr:to>
      <xdr:col>64</xdr:col>
      <xdr:colOff>384175</xdr:colOff>
      <xdr:row>41</xdr:row>
      <xdr:rowOff>63500</xdr:rowOff>
    </xdr:to>
    <xdr:cxnSp macro="">
      <xdr:nvCxnSpPr>
        <xdr:cNvPr id="5" name="Straight Connector 4"/>
        <xdr:cNvCxnSpPr/>
      </xdr:nvCxnSpPr>
      <xdr:spPr>
        <a:xfrm flipV="1">
          <a:off x="31232475" y="6664325"/>
          <a:ext cx="6927850" cy="9525"/>
        </a:xfrm>
        <a:prstGeom prst="line">
          <a:avLst/>
        </a:prstGeom>
        <a:ln w="12700">
          <a:solidFill>
            <a:schemeClr val="accent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0.10886</cdr:y>
    </cdr:from>
    <cdr:to>
      <cdr:x>0.06764</cdr:x>
      <cdr:y>0.16603</cdr:y>
    </cdr:to>
    <cdr:sp macro="" textlink="">
      <cdr:nvSpPr>
        <cdr:cNvPr id="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50952"/>
          <a:ext cx="453942" cy="236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>
          <a:spAutoFit/>
        </a:bodyPr>
        <a:lstStyle xmlns:a="http://schemas.openxmlformats.org/drawingml/2006/main"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Arial" charset="0"/>
            </a:defRPr>
          </a:lvl5pPr>
          <a:lvl6pPr marL="2286000" algn="l" defTabSz="914400" rtl="0" eaLnBrk="1" latinLnBrk="0" hangingPunct="1">
            <a:defRPr kern="1200">
              <a:solidFill>
                <a:srgbClr val="000000"/>
              </a:solidFill>
              <a:latin typeface="Arial" charset="0"/>
            </a:defRPr>
          </a:lvl6pPr>
          <a:lvl7pPr marL="2743200" algn="l" defTabSz="914400" rtl="0" eaLnBrk="1" latinLnBrk="0" hangingPunct="1">
            <a:defRPr kern="1200">
              <a:solidFill>
                <a:srgbClr val="000000"/>
              </a:solidFill>
              <a:latin typeface="Arial" charset="0"/>
            </a:defRPr>
          </a:lvl7pPr>
          <a:lvl8pPr marL="3200400" algn="l" defTabSz="914400" rtl="0" eaLnBrk="1" latinLnBrk="0" hangingPunct="1">
            <a:defRPr kern="1200">
              <a:solidFill>
                <a:srgbClr val="000000"/>
              </a:solidFill>
              <a:latin typeface="Arial" charset="0"/>
            </a:defRPr>
          </a:lvl8pPr>
          <a:lvl9pPr marL="3657600" algn="l" defTabSz="914400" rtl="0" eaLnBrk="1" latinLnBrk="0" hangingPunct="1">
            <a:defRPr kern="1200">
              <a:solidFill>
                <a:srgbClr val="000000"/>
              </a:solidFill>
              <a:latin typeface="Arial" charset="0"/>
            </a:defRPr>
          </a:lvl9pPr>
        </a:lstStyle>
        <a:p xmlns:a="http://schemas.openxmlformats.org/drawingml/2006/main">
          <a:pPr algn="l"/>
          <a:r>
            <a:rPr lang="da-DK" sz="900" b="1" dirty="0"/>
            <a:t>DKKm</a:t>
          </a:r>
          <a:endParaRPr lang="en-US" sz="1000" b="1" dirty="0"/>
        </a:p>
      </cdr:txBody>
    </cdr:sp>
  </cdr:relSizeAnchor>
</c:userShapes>
</file>

<file path=xl/theme/theme1.xml><?xml version="1.0" encoding="utf-8"?>
<a:theme xmlns:a="http://schemas.openxmlformats.org/drawingml/2006/main" name="NKT 2013 v3">
  <a:themeElements>
    <a:clrScheme name="NKT 2013">
      <a:dk1>
        <a:srgbClr val="5F5F5F"/>
      </a:dk1>
      <a:lt1>
        <a:srgbClr val="FFFFFF"/>
      </a:lt1>
      <a:dk2>
        <a:srgbClr val="BAA88D"/>
      </a:dk2>
      <a:lt2>
        <a:srgbClr val="FFFFFF"/>
      </a:lt2>
      <a:accent1>
        <a:srgbClr val="007FC5"/>
      </a:accent1>
      <a:accent2>
        <a:srgbClr val="0F4694"/>
      </a:accent2>
      <a:accent3>
        <a:srgbClr val="979291"/>
      </a:accent3>
      <a:accent4>
        <a:srgbClr val="F79340"/>
      </a:accent4>
      <a:accent5>
        <a:srgbClr val="EE2C3C"/>
      </a:accent5>
      <a:accent6>
        <a:srgbClr val="7F4196"/>
      </a:accent6>
      <a:hlink>
        <a:srgbClr val="00BBC1"/>
      </a:hlink>
      <a:folHlink>
        <a:srgbClr val="00000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W31"/>
  <sheetViews>
    <sheetView showGridLines="0" tabSelected="1" zoomScaleNormal="100" workbookViewId="0">
      <selection activeCell="A16" sqref="A16"/>
    </sheetView>
  </sheetViews>
  <sheetFormatPr defaultColWidth="9.140625" defaultRowHeight="12.75"/>
  <cols>
    <col min="1" max="10" width="9.140625" style="2"/>
    <col min="11" max="11" width="17.42578125" style="2" customWidth="1"/>
    <col min="12" max="16384" width="9.140625" style="2"/>
  </cols>
  <sheetData>
    <row r="9" spans="3:12" ht="44.25">
      <c r="D9" s="206" t="s">
        <v>40</v>
      </c>
      <c r="E9" s="206"/>
      <c r="F9" s="206"/>
      <c r="G9" s="206"/>
      <c r="H9" s="206"/>
      <c r="I9" s="206"/>
      <c r="J9" s="206"/>
      <c r="K9" s="206"/>
    </row>
    <row r="10" spans="3:12" ht="44.25">
      <c r="D10" s="206" t="s">
        <v>194</v>
      </c>
      <c r="E10" s="206"/>
      <c r="F10" s="206"/>
      <c r="G10" s="206"/>
      <c r="H10" s="206"/>
      <c r="I10" s="206"/>
      <c r="J10" s="206"/>
      <c r="K10" s="206"/>
    </row>
    <row r="11" spans="3:12" ht="44.25">
      <c r="D11" s="206" t="s">
        <v>192</v>
      </c>
      <c r="E11" s="206"/>
      <c r="F11" s="206"/>
      <c r="G11" s="206"/>
      <c r="H11" s="206"/>
      <c r="I11" s="206"/>
      <c r="J11" s="206"/>
      <c r="K11" s="206"/>
    </row>
    <row r="12" spans="3:12" ht="44.25">
      <c r="D12" s="206" t="s">
        <v>44</v>
      </c>
      <c r="E12" s="206"/>
      <c r="F12" s="206"/>
      <c r="G12" s="206"/>
      <c r="H12" s="206"/>
      <c r="I12" s="206"/>
      <c r="J12" s="206"/>
      <c r="K12" s="206"/>
      <c r="L12" s="63"/>
    </row>
    <row r="13" spans="3:12" ht="12.75" customHeight="1">
      <c r="L13" s="63"/>
    </row>
    <row r="14" spans="3:12" ht="12.75" customHeight="1">
      <c r="C14" s="64" t="s">
        <v>63</v>
      </c>
    </row>
    <row r="15" spans="3:12" ht="12.75" customHeight="1">
      <c r="C15" s="64" t="s">
        <v>63</v>
      </c>
    </row>
    <row r="21" spans="3:23">
      <c r="E21" s="6" t="s">
        <v>135</v>
      </c>
    </row>
    <row r="22" spans="3:23">
      <c r="E22" s="65" t="s">
        <v>174</v>
      </c>
    </row>
    <row r="23" spans="3:23">
      <c r="E23" s="65" t="s">
        <v>216</v>
      </c>
    </row>
    <row r="24" spans="3:23">
      <c r="E24" s="2" t="s">
        <v>103</v>
      </c>
    </row>
    <row r="25" spans="3:23">
      <c r="E25" s="2" t="s">
        <v>175</v>
      </c>
    </row>
    <row r="29" spans="3:23">
      <c r="C29" s="2" t="s">
        <v>63</v>
      </c>
    </row>
    <row r="30" spans="3:23">
      <c r="U30" s="14"/>
      <c r="V30" s="40"/>
      <c r="W30" s="40"/>
    </row>
    <row r="31" spans="3:23">
      <c r="U31" s="14"/>
      <c r="V31" s="14"/>
      <c r="W31" s="14"/>
    </row>
  </sheetData>
  <mergeCells count="4">
    <mergeCell ref="D12:K12"/>
    <mergeCell ref="D9:K9"/>
    <mergeCell ref="D10:K10"/>
    <mergeCell ref="D11:K1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CS68"/>
  <sheetViews>
    <sheetView showGridLines="0" zoomScaleNormal="100" zoomScaleSheetLayoutView="75" workbookViewId="0">
      <pane xSplit="1" ySplit="3" topLeftCell="BU15" activePane="bottomRight" state="frozen"/>
      <selection activeCell="C28" sqref="C28"/>
      <selection pane="topRight" activeCell="C28" sqref="C28"/>
      <selection pane="bottomLeft" activeCell="C28" sqref="C28"/>
      <selection pane="bottomRight" activeCell="C28" sqref="C28"/>
    </sheetView>
  </sheetViews>
  <sheetFormatPr defaultColWidth="9.140625" defaultRowHeight="12.75"/>
  <cols>
    <col min="1" max="1" width="31.140625" style="2" customWidth="1"/>
    <col min="2" max="2" width="4.7109375" style="3" customWidth="1"/>
    <col min="3" max="6" width="8.7109375" style="2" customWidth="1"/>
    <col min="7" max="7" width="8.7109375" style="6" customWidth="1"/>
    <col min="8" max="8" width="4.7109375" style="4" customWidth="1"/>
    <col min="9" max="12" width="8.7109375" style="2" customWidth="1"/>
    <col min="13" max="13" width="8.7109375" style="6" customWidth="1"/>
    <col min="14" max="14" width="4.7109375" style="2" customWidth="1"/>
    <col min="15" max="18" width="8.7109375" style="2" customWidth="1"/>
    <col min="19" max="19" width="8.7109375" style="6" customWidth="1"/>
    <col min="20" max="20" width="4.7109375" style="2" customWidth="1"/>
    <col min="21" max="24" width="8.7109375" style="2" customWidth="1"/>
    <col min="25" max="25" width="8.7109375" style="6" customWidth="1"/>
    <col min="26" max="26" width="4.7109375" style="2" customWidth="1"/>
    <col min="27" max="30" width="8.7109375" style="2" customWidth="1"/>
    <col min="31" max="31" width="8.7109375" style="6" customWidth="1"/>
    <col min="32" max="32" width="4.7109375" style="2" customWidth="1"/>
    <col min="33" max="36" width="8.7109375" style="2" customWidth="1"/>
    <col min="37" max="37" width="8.7109375" style="6" customWidth="1"/>
    <col min="38" max="38" width="4.7109375" style="2" customWidth="1"/>
    <col min="39" max="42" width="8.7109375" style="2" customWidth="1"/>
    <col min="43" max="43" width="8.7109375" style="6" customWidth="1"/>
    <col min="44" max="44" width="4.7109375" style="2" customWidth="1"/>
    <col min="45" max="49" width="8.7109375" style="2" customWidth="1"/>
    <col min="50" max="50" width="4.7109375" style="2" customWidth="1"/>
    <col min="51" max="55" width="8.7109375" style="2" customWidth="1"/>
    <col min="56" max="56" width="4.7109375" style="2" customWidth="1"/>
    <col min="57" max="61" width="8.7109375" style="2" customWidth="1"/>
    <col min="62" max="62" width="4.7109375" style="2" customWidth="1"/>
    <col min="63" max="67" width="8.7109375" style="2" customWidth="1"/>
    <col min="68" max="68" width="4.7109375" style="2" customWidth="1"/>
    <col min="69" max="73" width="8.7109375" style="2" customWidth="1"/>
    <col min="74" max="74" width="4.7109375" style="2" customWidth="1"/>
    <col min="75" max="79" width="8.7109375" style="2" customWidth="1"/>
    <col min="80" max="80" width="4.7109375" style="2" customWidth="1"/>
    <col min="81" max="85" width="8.7109375" style="2" customWidth="1"/>
    <col min="86" max="86" width="4.7109375" style="2" customWidth="1"/>
    <col min="87" max="91" width="8.7109375" style="2" customWidth="1"/>
    <col min="92" max="92" width="4.7109375" style="2" customWidth="1"/>
    <col min="93" max="97" width="8.7109375" style="2" customWidth="1"/>
    <col min="98" max="98" width="4.7109375" style="2" customWidth="1"/>
    <col min="99" max="16384" width="9.140625" style="2"/>
  </cols>
  <sheetData>
    <row r="1" spans="1:97">
      <c r="C1" s="207" t="s">
        <v>126</v>
      </c>
      <c r="D1" s="207"/>
      <c r="E1" s="207"/>
      <c r="F1" s="207"/>
      <c r="G1" s="207"/>
      <c r="I1" s="207" t="s">
        <v>126</v>
      </c>
      <c r="J1" s="207"/>
      <c r="K1" s="207"/>
      <c r="L1" s="207"/>
      <c r="M1" s="207"/>
      <c r="O1" s="207" t="s">
        <v>126</v>
      </c>
      <c r="P1" s="207"/>
      <c r="Q1" s="207"/>
      <c r="R1" s="207"/>
      <c r="S1" s="207"/>
      <c r="U1" s="207" t="s">
        <v>126</v>
      </c>
      <c r="V1" s="207"/>
      <c r="W1" s="207"/>
      <c r="X1" s="207"/>
      <c r="Y1" s="207"/>
      <c r="AA1" s="207" t="s">
        <v>104</v>
      </c>
      <c r="AB1" s="207"/>
      <c r="AC1" s="207"/>
      <c r="AD1" s="207"/>
      <c r="AE1" s="207"/>
      <c r="AG1" s="207" t="s">
        <v>104</v>
      </c>
      <c r="AH1" s="207"/>
      <c r="AI1" s="207"/>
      <c r="AJ1" s="207"/>
      <c r="AK1" s="207"/>
      <c r="AM1" s="207" t="s">
        <v>104</v>
      </c>
      <c r="AN1" s="207"/>
      <c r="AO1" s="207"/>
      <c r="AP1" s="207"/>
      <c r="AQ1" s="207"/>
      <c r="AS1" s="207" t="s">
        <v>104</v>
      </c>
      <c r="AT1" s="207"/>
      <c r="AU1" s="207"/>
      <c r="AV1" s="207"/>
      <c r="AW1" s="207"/>
      <c r="AY1" s="207" t="s">
        <v>104</v>
      </c>
      <c r="AZ1" s="207"/>
      <c r="BA1" s="207"/>
      <c r="BB1" s="207"/>
      <c r="BC1" s="207"/>
      <c r="BE1" s="207" t="s">
        <v>104</v>
      </c>
      <c r="BF1" s="207"/>
      <c r="BG1" s="207"/>
      <c r="BH1" s="207"/>
      <c r="BI1" s="207"/>
      <c r="BK1" s="207" t="s">
        <v>104</v>
      </c>
      <c r="BL1" s="207"/>
      <c r="BM1" s="207"/>
      <c r="BN1" s="207"/>
      <c r="BO1" s="207"/>
      <c r="BQ1" s="207" t="s">
        <v>104</v>
      </c>
      <c r="BR1" s="207"/>
      <c r="BS1" s="207"/>
      <c r="BT1" s="207"/>
      <c r="BU1" s="207"/>
      <c r="BW1" s="207" t="s">
        <v>104</v>
      </c>
      <c r="BX1" s="207"/>
      <c r="BY1" s="207"/>
      <c r="BZ1" s="207"/>
      <c r="CA1" s="207"/>
      <c r="CC1" s="207" t="s">
        <v>104</v>
      </c>
      <c r="CD1" s="207"/>
      <c r="CE1" s="207"/>
      <c r="CF1" s="207"/>
      <c r="CG1" s="207"/>
      <c r="CI1" s="207" t="s">
        <v>104</v>
      </c>
      <c r="CJ1" s="207"/>
      <c r="CK1" s="207"/>
      <c r="CL1" s="207"/>
      <c r="CM1" s="207"/>
      <c r="CO1" s="207" t="s">
        <v>104</v>
      </c>
      <c r="CP1" s="207"/>
      <c r="CQ1" s="207"/>
      <c r="CR1" s="207"/>
      <c r="CS1" s="207"/>
    </row>
    <row r="2" spans="1:97">
      <c r="A2" s="1" t="s">
        <v>40</v>
      </c>
      <c r="B2" s="5"/>
      <c r="C2" s="208">
        <v>2001</v>
      </c>
      <c r="D2" s="208"/>
      <c r="E2" s="208"/>
      <c r="F2" s="208"/>
      <c r="G2" s="208"/>
      <c r="I2" s="208">
        <v>2002</v>
      </c>
      <c r="J2" s="208"/>
      <c r="K2" s="208"/>
      <c r="L2" s="208"/>
      <c r="M2" s="208"/>
      <c r="O2" s="208">
        <v>2003</v>
      </c>
      <c r="P2" s="208"/>
      <c r="Q2" s="208"/>
      <c r="R2" s="208"/>
      <c r="S2" s="208"/>
      <c r="U2" s="208">
        <v>2004</v>
      </c>
      <c r="V2" s="208"/>
      <c r="W2" s="208"/>
      <c r="X2" s="208"/>
      <c r="Y2" s="208"/>
      <c r="AA2" s="208">
        <v>2004</v>
      </c>
      <c r="AB2" s="208"/>
      <c r="AC2" s="208"/>
      <c r="AD2" s="208"/>
      <c r="AE2" s="208"/>
      <c r="AG2" s="208">
        <v>2005</v>
      </c>
      <c r="AH2" s="208"/>
      <c r="AI2" s="208"/>
      <c r="AJ2" s="208"/>
      <c r="AK2" s="208"/>
      <c r="AM2" s="208">
        <v>2006</v>
      </c>
      <c r="AN2" s="208"/>
      <c r="AO2" s="208"/>
      <c r="AP2" s="208"/>
      <c r="AQ2" s="208"/>
      <c r="AS2" s="208">
        <v>2007</v>
      </c>
      <c r="AT2" s="208"/>
      <c r="AU2" s="208"/>
      <c r="AV2" s="208"/>
      <c r="AW2" s="208"/>
      <c r="AY2" s="208">
        <v>2008</v>
      </c>
      <c r="AZ2" s="208"/>
      <c r="BA2" s="208"/>
      <c r="BB2" s="208"/>
      <c r="BC2" s="208"/>
      <c r="BE2" s="208">
        <v>2009</v>
      </c>
      <c r="BF2" s="208"/>
      <c r="BG2" s="208"/>
      <c r="BH2" s="208"/>
      <c r="BI2" s="208"/>
      <c r="BK2" s="208">
        <v>2010</v>
      </c>
      <c r="BL2" s="208"/>
      <c r="BM2" s="208"/>
      <c r="BN2" s="208"/>
      <c r="BO2" s="208"/>
      <c r="BQ2" s="208">
        <v>2011</v>
      </c>
      <c r="BR2" s="208"/>
      <c r="BS2" s="208"/>
      <c r="BT2" s="208"/>
      <c r="BU2" s="208"/>
      <c r="BW2" s="208">
        <v>2012</v>
      </c>
      <c r="BX2" s="208"/>
      <c r="BY2" s="208"/>
      <c r="BZ2" s="208"/>
      <c r="CA2" s="208"/>
      <c r="CC2" s="208">
        <v>2013</v>
      </c>
      <c r="CD2" s="208"/>
      <c r="CE2" s="208"/>
      <c r="CF2" s="208"/>
      <c r="CG2" s="208"/>
      <c r="CI2" s="208">
        <v>2014</v>
      </c>
      <c r="CJ2" s="208"/>
      <c r="CK2" s="208"/>
      <c r="CL2" s="208"/>
      <c r="CM2" s="208"/>
      <c r="CO2" s="208">
        <v>2015</v>
      </c>
      <c r="CP2" s="208"/>
      <c r="CQ2" s="208"/>
      <c r="CR2" s="208"/>
      <c r="CS2" s="208"/>
    </row>
    <row r="3" spans="1:97" s="85" customFormat="1" ht="13.5" thickBot="1">
      <c r="A3" s="82" t="s">
        <v>183</v>
      </c>
      <c r="B3" s="83"/>
      <c r="C3" s="84" t="s">
        <v>10</v>
      </c>
      <c r="D3" s="84" t="s">
        <v>11</v>
      </c>
      <c r="E3" s="84" t="s">
        <v>12</v>
      </c>
      <c r="F3" s="84" t="s">
        <v>13</v>
      </c>
      <c r="G3" s="84" t="s">
        <v>14</v>
      </c>
      <c r="H3" s="84"/>
      <c r="I3" s="84" t="s">
        <v>10</v>
      </c>
      <c r="J3" s="84" t="s">
        <v>11</v>
      </c>
      <c r="K3" s="84" t="s">
        <v>12</v>
      </c>
      <c r="L3" s="84" t="s">
        <v>13</v>
      </c>
      <c r="M3" s="84" t="s">
        <v>14</v>
      </c>
      <c r="O3" s="84" t="s">
        <v>10</v>
      </c>
      <c r="P3" s="84" t="s">
        <v>11</v>
      </c>
      <c r="Q3" s="84" t="s">
        <v>12</v>
      </c>
      <c r="R3" s="84" t="s">
        <v>13</v>
      </c>
      <c r="S3" s="84" t="s">
        <v>14</v>
      </c>
      <c r="U3" s="84" t="s">
        <v>10</v>
      </c>
      <c r="V3" s="84" t="s">
        <v>11</v>
      </c>
      <c r="W3" s="84" t="s">
        <v>12</v>
      </c>
      <c r="X3" s="84" t="s">
        <v>13</v>
      </c>
      <c r="Y3" s="84" t="s">
        <v>14</v>
      </c>
      <c r="AA3" s="84" t="s">
        <v>10</v>
      </c>
      <c r="AB3" s="84" t="s">
        <v>11</v>
      </c>
      <c r="AC3" s="84" t="s">
        <v>12</v>
      </c>
      <c r="AD3" s="84" t="s">
        <v>13</v>
      </c>
      <c r="AE3" s="84" t="s">
        <v>14</v>
      </c>
      <c r="AG3" s="84" t="s">
        <v>10</v>
      </c>
      <c r="AH3" s="84" t="s">
        <v>11</v>
      </c>
      <c r="AI3" s="84" t="s">
        <v>12</v>
      </c>
      <c r="AJ3" s="84" t="s">
        <v>13</v>
      </c>
      <c r="AK3" s="84" t="s">
        <v>14</v>
      </c>
      <c r="AM3" s="84" t="s">
        <v>10</v>
      </c>
      <c r="AN3" s="84" t="s">
        <v>11</v>
      </c>
      <c r="AO3" s="84" t="s">
        <v>12</v>
      </c>
      <c r="AP3" s="84" t="s">
        <v>13</v>
      </c>
      <c r="AQ3" s="84" t="s">
        <v>14</v>
      </c>
      <c r="AS3" s="84" t="s">
        <v>10</v>
      </c>
      <c r="AT3" s="84" t="s">
        <v>11</v>
      </c>
      <c r="AU3" s="84" t="s">
        <v>12</v>
      </c>
      <c r="AV3" s="84" t="s">
        <v>13</v>
      </c>
      <c r="AW3" s="84" t="s">
        <v>14</v>
      </c>
      <c r="AY3" s="84" t="s">
        <v>10</v>
      </c>
      <c r="AZ3" s="84" t="s">
        <v>11</v>
      </c>
      <c r="BA3" s="84" t="s">
        <v>12</v>
      </c>
      <c r="BB3" s="84" t="s">
        <v>13</v>
      </c>
      <c r="BC3" s="84" t="s">
        <v>14</v>
      </c>
      <c r="BE3" s="84" t="s">
        <v>10</v>
      </c>
      <c r="BF3" s="84" t="s">
        <v>11</v>
      </c>
      <c r="BG3" s="84" t="s">
        <v>12</v>
      </c>
      <c r="BH3" s="84" t="s">
        <v>13</v>
      </c>
      <c r="BI3" s="84" t="s">
        <v>14</v>
      </c>
      <c r="BK3" s="84" t="s">
        <v>10</v>
      </c>
      <c r="BL3" s="84" t="s">
        <v>11</v>
      </c>
      <c r="BM3" s="84" t="s">
        <v>12</v>
      </c>
      <c r="BN3" s="84" t="s">
        <v>13</v>
      </c>
      <c r="BO3" s="84" t="s">
        <v>14</v>
      </c>
      <c r="BQ3" s="84" t="s">
        <v>10</v>
      </c>
      <c r="BR3" s="84" t="s">
        <v>11</v>
      </c>
      <c r="BS3" s="84" t="s">
        <v>12</v>
      </c>
      <c r="BT3" s="84" t="s">
        <v>13</v>
      </c>
      <c r="BU3" s="84" t="s">
        <v>14</v>
      </c>
      <c r="BW3" s="84" t="s">
        <v>10</v>
      </c>
      <c r="BX3" s="84" t="s">
        <v>11</v>
      </c>
      <c r="BY3" s="84" t="s">
        <v>12</v>
      </c>
      <c r="BZ3" s="84" t="s">
        <v>13</v>
      </c>
      <c r="CA3" s="84" t="s">
        <v>14</v>
      </c>
      <c r="CC3" s="84" t="s">
        <v>10</v>
      </c>
      <c r="CD3" s="84" t="s">
        <v>11</v>
      </c>
      <c r="CE3" s="84" t="s">
        <v>12</v>
      </c>
      <c r="CF3" s="84" t="s">
        <v>13</v>
      </c>
      <c r="CG3" s="84" t="s">
        <v>14</v>
      </c>
      <c r="CI3" s="84" t="s">
        <v>10</v>
      </c>
      <c r="CJ3" s="84" t="s">
        <v>11</v>
      </c>
      <c r="CK3" s="84" t="s">
        <v>12</v>
      </c>
      <c r="CL3" s="84" t="s">
        <v>13</v>
      </c>
      <c r="CM3" s="84" t="s">
        <v>14</v>
      </c>
      <c r="CO3" s="84" t="s">
        <v>10</v>
      </c>
      <c r="CP3" s="84" t="s">
        <v>11</v>
      </c>
      <c r="CQ3" s="84" t="s">
        <v>12</v>
      </c>
      <c r="CR3" s="84" t="s">
        <v>13</v>
      </c>
      <c r="CS3" s="84" t="s">
        <v>14</v>
      </c>
    </row>
    <row r="4" spans="1:97" ht="13.5" thickTop="1">
      <c r="G4" s="69"/>
      <c r="M4" s="69"/>
      <c r="S4" s="69"/>
      <c r="Y4" s="69"/>
      <c r="AE4" s="69"/>
      <c r="AK4" s="69"/>
      <c r="AQ4" s="69"/>
      <c r="AW4" s="69"/>
      <c r="BC4" s="69"/>
      <c r="BI4" s="69"/>
      <c r="BO4" s="69"/>
      <c r="BU4" s="69"/>
      <c r="CA4" s="69"/>
      <c r="CG4" s="69"/>
      <c r="CM4" s="69"/>
      <c r="CS4" s="69"/>
    </row>
    <row r="5" spans="1:97" s="76" customFormat="1" ht="18.75" customHeight="1">
      <c r="A5" s="76" t="s">
        <v>91</v>
      </c>
      <c r="B5" s="77"/>
      <c r="C5" s="7">
        <v>1538</v>
      </c>
      <c r="D5" s="7">
        <v>1682</v>
      </c>
      <c r="E5" s="7">
        <v>1621</v>
      </c>
      <c r="F5" s="7">
        <v>1585</v>
      </c>
      <c r="G5" s="70">
        <f>SUM(C5:F5)</f>
        <v>6426</v>
      </c>
      <c r="H5" s="78"/>
      <c r="I5" s="7">
        <v>1351</v>
      </c>
      <c r="J5" s="7">
        <v>1530</v>
      </c>
      <c r="K5" s="7">
        <v>1520</v>
      </c>
      <c r="L5" s="7">
        <v>1488</v>
      </c>
      <c r="M5" s="70">
        <f>SUM(I5:L5)</f>
        <v>5889</v>
      </c>
      <c r="O5" s="7">
        <v>1334</v>
      </c>
      <c r="P5" s="7">
        <v>1468</v>
      </c>
      <c r="Q5" s="7">
        <v>1532</v>
      </c>
      <c r="R5" s="7">
        <v>1490</v>
      </c>
      <c r="S5" s="70">
        <f>SUM(O5:R5)</f>
        <v>5824</v>
      </c>
      <c r="U5" s="7">
        <v>1430</v>
      </c>
      <c r="V5" s="7">
        <v>2000</v>
      </c>
      <c r="W5" s="7">
        <f>'Segment Data'!W13</f>
        <v>2136</v>
      </c>
      <c r="X5" s="7">
        <v>2159</v>
      </c>
      <c r="Y5" s="70">
        <f>SUM(U5:X5)</f>
        <v>7725</v>
      </c>
      <c r="AA5" s="7">
        <v>1304</v>
      </c>
      <c r="AB5" s="7">
        <v>1855</v>
      </c>
      <c r="AC5" s="7">
        <v>1977</v>
      </c>
      <c r="AD5" s="7">
        <v>2002</v>
      </c>
      <c r="AE5" s="70">
        <f>SUM(AA5:AD5)</f>
        <v>7138</v>
      </c>
      <c r="AG5" s="7">
        <v>1866</v>
      </c>
      <c r="AH5" s="7">
        <v>2292</v>
      </c>
      <c r="AI5" s="7">
        <v>2231</v>
      </c>
      <c r="AJ5" s="7">
        <v>2361</v>
      </c>
      <c r="AK5" s="70">
        <f>SUM(AG5:AJ5)</f>
        <v>8750</v>
      </c>
      <c r="AM5" s="7">
        <v>2412</v>
      </c>
      <c r="AN5" s="7">
        <f>'Segment Data'!AN13</f>
        <v>2837</v>
      </c>
      <c r="AO5" s="7">
        <v>2703</v>
      </c>
      <c r="AP5" s="7">
        <v>2863</v>
      </c>
      <c r="AQ5" s="70">
        <f>SUM(AM5:AP5)</f>
        <v>10815</v>
      </c>
      <c r="AS5" s="7">
        <v>3130</v>
      </c>
      <c r="AT5" s="7">
        <v>3612</v>
      </c>
      <c r="AU5" s="7">
        <v>3356</v>
      </c>
      <c r="AV5" s="7">
        <v>3427</v>
      </c>
      <c r="AW5" s="70">
        <f>SUM(AS5:AV5)</f>
        <v>13525</v>
      </c>
      <c r="AY5" s="7">
        <v>3366</v>
      </c>
      <c r="AZ5" s="7">
        <v>3789</v>
      </c>
      <c r="BA5" s="7">
        <v>3528</v>
      </c>
      <c r="BB5" s="7">
        <v>3145</v>
      </c>
      <c r="BC5" s="70">
        <f>SUM(AY5:BB5)</f>
        <v>13828</v>
      </c>
      <c r="BE5" s="7">
        <v>2635</v>
      </c>
      <c r="BF5" s="7">
        <v>3144</v>
      </c>
      <c r="BG5" s="7">
        <v>2981</v>
      </c>
      <c r="BH5" s="7">
        <v>2927</v>
      </c>
      <c r="BI5" s="70">
        <f>SUM(BE5:BH5)</f>
        <v>11687</v>
      </c>
      <c r="BK5" s="7">
        <v>3062</v>
      </c>
      <c r="BL5" s="7">
        <v>3635</v>
      </c>
      <c r="BM5" s="7">
        <v>3725</v>
      </c>
      <c r="BN5" s="7">
        <v>4029</v>
      </c>
      <c r="BO5" s="70">
        <f>SUM(BK5:BN5)</f>
        <v>14451</v>
      </c>
      <c r="BQ5" s="7">
        <f>+'Segment Data'!BQ13</f>
        <v>3774</v>
      </c>
      <c r="BR5" s="7">
        <f>+'Segment Data'!BR13</f>
        <v>4016</v>
      </c>
      <c r="BS5" s="7">
        <f>+'Segment Data'!BS13</f>
        <v>3912</v>
      </c>
      <c r="BT5" s="7">
        <f>+'Segment Data'!BT13</f>
        <v>3902</v>
      </c>
      <c r="BU5" s="70">
        <f>SUM(BQ5:BT5)</f>
        <v>15604</v>
      </c>
      <c r="BW5" s="7">
        <f>+'Segment Data'!BW13</f>
        <v>3531</v>
      </c>
      <c r="BX5" s="7">
        <f>+'Segment Data'!BX13</f>
        <v>3904</v>
      </c>
      <c r="BY5" s="7">
        <f>+'Segment Data'!BY13</f>
        <v>3816</v>
      </c>
      <c r="BZ5" s="7">
        <f>+'Segment Data'!BZ13</f>
        <v>4002</v>
      </c>
      <c r="CA5" s="70">
        <f>SUM(BW5:BZ5)</f>
        <v>15253</v>
      </c>
      <c r="CC5" s="7">
        <f>+'Segment Data'!CC13</f>
        <v>3509</v>
      </c>
      <c r="CD5" s="7">
        <f>+'Segment Data'!CD13</f>
        <v>4038</v>
      </c>
      <c r="CE5" s="7">
        <f>+'Segment Data'!CE13</f>
        <v>4077</v>
      </c>
      <c r="CF5" s="7">
        <v>4185</v>
      </c>
      <c r="CG5" s="70">
        <f>SUM(CC5:CF5)</f>
        <v>15809</v>
      </c>
      <c r="CI5" s="7">
        <f>+'Segment Data'!CI13</f>
        <v>3865</v>
      </c>
      <c r="CJ5" s="7">
        <f>+'Segment Data'!CJ13</f>
        <v>4028</v>
      </c>
      <c r="CK5" s="7">
        <v>3946</v>
      </c>
      <c r="CL5" s="7">
        <f>+'Segment Data'!CL13</f>
        <v>4024</v>
      </c>
      <c r="CM5" s="70">
        <f>SUM(CI5:CL5)</f>
        <v>15863</v>
      </c>
      <c r="CO5" s="7">
        <f>+'Segment Data'!CO13</f>
        <v>4164</v>
      </c>
      <c r="CP5" s="7">
        <v>4471</v>
      </c>
      <c r="CQ5" s="7"/>
      <c r="CR5" s="7"/>
      <c r="CS5" s="70">
        <f>SUM(CO5:CR5)</f>
        <v>8635</v>
      </c>
    </row>
    <row r="6" spans="1:97" ht="6" customHeight="1">
      <c r="C6" s="9"/>
      <c r="D6" s="9"/>
      <c r="E6" s="9"/>
      <c r="F6" s="9"/>
      <c r="G6" s="71"/>
      <c r="H6" s="8"/>
      <c r="I6" s="9"/>
      <c r="J6" s="9"/>
      <c r="K6" s="9"/>
      <c r="L6" s="9"/>
      <c r="M6" s="71"/>
      <c r="O6" s="9"/>
      <c r="P6" s="9"/>
      <c r="Q6" s="9"/>
      <c r="R6" s="9"/>
      <c r="S6" s="71"/>
      <c r="U6" s="9"/>
      <c r="V6" s="9"/>
      <c r="W6" s="9"/>
      <c r="X6" s="9"/>
      <c r="Y6" s="71"/>
      <c r="AA6" s="9"/>
      <c r="AB6" s="9"/>
      <c r="AC6" s="9"/>
      <c r="AD6" s="9"/>
      <c r="AE6" s="71"/>
      <c r="AG6" s="9"/>
      <c r="AH6" s="9"/>
      <c r="AI6" s="9"/>
      <c r="AJ6" s="9"/>
      <c r="AK6" s="71"/>
      <c r="AM6" s="9"/>
      <c r="AN6" s="9"/>
      <c r="AO6" s="9"/>
      <c r="AP6" s="9"/>
      <c r="AQ6" s="71"/>
      <c r="AS6" s="9"/>
      <c r="AT6" s="9"/>
      <c r="AU6" s="9"/>
      <c r="AV6" s="9"/>
      <c r="AW6" s="71"/>
      <c r="AY6" s="9"/>
      <c r="AZ6" s="9"/>
      <c r="BA6" s="9"/>
      <c r="BB6" s="9"/>
      <c r="BC6" s="71"/>
      <c r="BE6" s="9"/>
      <c r="BF6" s="9"/>
      <c r="BG6" s="9"/>
      <c r="BH6" s="9"/>
      <c r="BI6" s="71"/>
      <c r="BK6" s="9"/>
      <c r="BL6" s="9"/>
      <c r="BM6" s="9"/>
      <c r="BN6" s="9"/>
      <c r="BO6" s="71"/>
      <c r="BQ6" s="9"/>
      <c r="BR6" s="9"/>
      <c r="BS6" s="9"/>
      <c r="BT6" s="9"/>
      <c r="BU6" s="71"/>
      <c r="BW6" s="9"/>
      <c r="BX6" s="9"/>
      <c r="BY6" s="9"/>
      <c r="BZ6" s="9"/>
      <c r="CA6" s="71"/>
      <c r="CC6" s="9"/>
      <c r="CD6" s="9"/>
      <c r="CE6" s="9"/>
      <c r="CF6" s="9"/>
      <c r="CG6" s="71"/>
      <c r="CI6" s="9"/>
      <c r="CJ6" s="9"/>
      <c r="CK6" s="9"/>
      <c r="CL6" s="9"/>
      <c r="CM6" s="71"/>
      <c r="CO6" s="9"/>
      <c r="CP6" s="9"/>
      <c r="CQ6" s="9"/>
      <c r="CR6" s="9"/>
      <c r="CS6" s="71"/>
    </row>
    <row r="7" spans="1:97" s="6" customFormat="1" ht="18.75" customHeight="1">
      <c r="A7" s="6" t="s">
        <v>1</v>
      </c>
      <c r="B7" s="1"/>
      <c r="C7" s="10">
        <v>37</v>
      </c>
      <c r="D7" s="10">
        <v>169</v>
      </c>
      <c r="E7" s="10">
        <v>52</v>
      </c>
      <c r="F7" s="10">
        <v>57</v>
      </c>
      <c r="G7" s="71">
        <f>SUM(C7:F7)</f>
        <v>315</v>
      </c>
      <c r="H7" s="8"/>
      <c r="I7" s="10">
        <v>66</v>
      </c>
      <c r="J7" s="10">
        <v>86</v>
      </c>
      <c r="K7" s="10">
        <v>95</v>
      </c>
      <c r="L7" s="10">
        <v>-79</v>
      </c>
      <c r="M7" s="71">
        <f>SUM(I7:L7)</f>
        <v>168</v>
      </c>
      <c r="O7" s="10">
        <v>66</v>
      </c>
      <c r="P7" s="10">
        <v>101</v>
      </c>
      <c r="Q7" s="10">
        <v>108</v>
      </c>
      <c r="R7" s="10">
        <v>111</v>
      </c>
      <c r="S7" s="71">
        <f>SUM(O7:R7)</f>
        <v>386</v>
      </c>
      <c r="U7" s="10">
        <v>71</v>
      </c>
      <c r="V7" s="10">
        <v>149</v>
      </c>
      <c r="W7" s="10">
        <f>'Segment Data'!W38</f>
        <v>271</v>
      </c>
      <c r="X7" s="10">
        <v>125</v>
      </c>
      <c r="Y7" s="71">
        <f>SUM(U7:X7)</f>
        <v>616</v>
      </c>
      <c r="AA7" s="10">
        <v>68</v>
      </c>
      <c r="AB7" s="10">
        <v>-37</v>
      </c>
      <c r="AC7" s="10">
        <v>263</v>
      </c>
      <c r="AD7" s="10">
        <v>139</v>
      </c>
      <c r="AE7" s="71">
        <f>SUM(AA7:AD7)</f>
        <v>433</v>
      </c>
      <c r="AG7" s="10">
        <v>125</v>
      </c>
      <c r="AH7" s="10">
        <v>174</v>
      </c>
      <c r="AI7" s="10">
        <v>190</v>
      </c>
      <c r="AJ7" s="10">
        <v>224</v>
      </c>
      <c r="AK7" s="71">
        <f>SUM(AG7:AJ7)</f>
        <v>713</v>
      </c>
      <c r="AM7" s="10">
        <v>176</v>
      </c>
      <c r="AN7" s="10">
        <v>373</v>
      </c>
      <c r="AO7" s="10">
        <v>255</v>
      </c>
      <c r="AP7" s="10">
        <v>218</v>
      </c>
      <c r="AQ7" s="71">
        <f>SUM(AM7:AP7)</f>
        <v>1022</v>
      </c>
      <c r="AS7" s="10">
        <v>256</v>
      </c>
      <c r="AT7" s="10">
        <v>397</v>
      </c>
      <c r="AU7" s="10">
        <v>333</v>
      </c>
      <c r="AV7" s="10">
        <v>447</v>
      </c>
      <c r="AW7" s="71">
        <f>SUM(AS7:AV7)</f>
        <v>1433</v>
      </c>
      <c r="AY7" s="10">
        <v>305</v>
      </c>
      <c r="AZ7" s="10">
        <v>461</v>
      </c>
      <c r="BA7" s="10">
        <v>329</v>
      </c>
      <c r="BB7" s="10">
        <v>123</v>
      </c>
      <c r="BC7" s="71">
        <f>SUM(AY7:BB7)</f>
        <v>1218</v>
      </c>
      <c r="BE7" s="10">
        <v>127</v>
      </c>
      <c r="BF7" s="10">
        <v>237</v>
      </c>
      <c r="BG7" s="10">
        <v>225</v>
      </c>
      <c r="BH7" s="10">
        <v>194</v>
      </c>
      <c r="BI7" s="71">
        <f>SUM(BE7:BH7)</f>
        <v>783</v>
      </c>
      <c r="BK7" s="10">
        <v>213</v>
      </c>
      <c r="BL7" s="10">
        <v>258</v>
      </c>
      <c r="BM7" s="10">
        <v>250</v>
      </c>
      <c r="BN7" s="10">
        <v>178</v>
      </c>
      <c r="BO7" s="71">
        <f>SUM(BK7:BN7)</f>
        <v>899</v>
      </c>
      <c r="BQ7" s="10">
        <f>+'Segment Data'!BQ38</f>
        <v>216</v>
      </c>
      <c r="BR7" s="10">
        <f>+'Segment Data'!BR38</f>
        <v>210</v>
      </c>
      <c r="BS7" s="10">
        <f>+'Segment Data'!BS38</f>
        <v>312</v>
      </c>
      <c r="BT7" s="10">
        <f>+'Segment Data'!BT38</f>
        <v>265</v>
      </c>
      <c r="BU7" s="71">
        <f>SUM(BQ7:BT7)</f>
        <v>1003</v>
      </c>
      <c r="BW7" s="10">
        <f>+'Segment Data'!BW38</f>
        <v>228</v>
      </c>
      <c r="BX7" s="10">
        <f>+'Segment Data'!BX38</f>
        <v>229</v>
      </c>
      <c r="BY7" s="10">
        <f>+'Segment Data'!BY38</f>
        <v>239</v>
      </c>
      <c r="BZ7" s="10">
        <f>+'Segment Data'!BZ38</f>
        <v>313</v>
      </c>
      <c r="CA7" s="71">
        <f>SUM(BW7:BZ7)</f>
        <v>1009</v>
      </c>
      <c r="CC7" s="10">
        <f>+'Segment Data'!CC38</f>
        <v>217</v>
      </c>
      <c r="CD7" s="10">
        <f>+'Segment Data'!CD38</f>
        <v>279</v>
      </c>
      <c r="CE7" s="10">
        <f>+'Segment Data'!CE38</f>
        <v>241</v>
      </c>
      <c r="CF7" s="10">
        <v>366</v>
      </c>
      <c r="CG7" s="71">
        <f>SUM(CC7:CF7)</f>
        <v>1103</v>
      </c>
      <c r="CI7" s="10">
        <f>+'Segment Data'!CI38</f>
        <v>296</v>
      </c>
      <c r="CJ7" s="10">
        <f>+'Segment Data'!CJ38</f>
        <v>222</v>
      </c>
      <c r="CK7" s="10">
        <f>+'Segment Data'!CK38</f>
        <v>226</v>
      </c>
      <c r="CL7" s="10">
        <f>+'Segment Data'!CL38</f>
        <v>317</v>
      </c>
      <c r="CM7" s="71">
        <f>SUM(CI7:CL7)</f>
        <v>1061</v>
      </c>
      <c r="CO7" s="10">
        <f>+'Segment Data'!CO38</f>
        <v>245</v>
      </c>
      <c r="CP7" s="10">
        <f>+'Segment Data'!CP38</f>
        <v>407</v>
      </c>
      <c r="CQ7" s="10"/>
      <c r="CR7" s="10"/>
      <c r="CS7" s="71">
        <f>SUM(CO7:CR7)</f>
        <v>652</v>
      </c>
    </row>
    <row r="8" spans="1:97">
      <c r="A8" s="2" t="s">
        <v>59</v>
      </c>
      <c r="C8" s="9">
        <f>-75</f>
        <v>-75</v>
      </c>
      <c r="D8" s="9">
        <f>-74-2</f>
        <v>-76</v>
      </c>
      <c r="E8" s="9">
        <f>-80-3</f>
        <v>-83</v>
      </c>
      <c r="F8" s="9">
        <f>-87-4</f>
        <v>-91</v>
      </c>
      <c r="G8" s="71">
        <f>SUM(C8:F8)</f>
        <v>-325</v>
      </c>
      <c r="H8" s="8"/>
      <c r="I8" s="9">
        <f>-79-3</f>
        <v>-82</v>
      </c>
      <c r="J8" s="9">
        <f>-81-2</f>
        <v>-83</v>
      </c>
      <c r="K8" s="9">
        <f>-77-3</f>
        <v>-80</v>
      </c>
      <c r="L8" s="9">
        <f>-78-1</f>
        <v>-79</v>
      </c>
      <c r="M8" s="71">
        <f>SUM(I8:L8)</f>
        <v>-324</v>
      </c>
      <c r="O8" s="9">
        <f>-50-2</f>
        <v>-52</v>
      </c>
      <c r="P8" s="9">
        <f>-49-2</f>
        <v>-51</v>
      </c>
      <c r="Q8" s="9">
        <f>-47-5</f>
        <v>-52</v>
      </c>
      <c r="R8" s="9">
        <f>-52-5</f>
        <v>-57</v>
      </c>
      <c r="S8" s="71">
        <f>SUM(O8:R8)</f>
        <v>-212</v>
      </c>
      <c r="U8" s="9">
        <f>-52+5</f>
        <v>-47</v>
      </c>
      <c r="V8" s="9">
        <f>-61+8</f>
        <v>-53</v>
      </c>
      <c r="W8" s="9">
        <f>-59+8</f>
        <v>-51</v>
      </c>
      <c r="X8" s="9">
        <f>-63+10</f>
        <v>-53</v>
      </c>
      <c r="Y8" s="71">
        <f>SUM(U8:X8)</f>
        <v>-204</v>
      </c>
      <c r="AA8" s="9">
        <v>-40</v>
      </c>
      <c r="AB8" s="9">
        <v>-46</v>
      </c>
      <c r="AC8" s="9">
        <v>-44</v>
      </c>
      <c r="AD8" s="9">
        <v>-44</v>
      </c>
      <c r="AE8" s="71">
        <f>SUM(AA8:AD8)</f>
        <v>-174</v>
      </c>
      <c r="AG8" s="9">
        <v>-38</v>
      </c>
      <c r="AH8" s="9">
        <v>-35</v>
      </c>
      <c r="AI8" s="9">
        <v>-37</v>
      </c>
      <c r="AJ8" s="9">
        <v>-49</v>
      </c>
      <c r="AK8" s="71">
        <f>SUM(AG8:AJ8)</f>
        <v>-159</v>
      </c>
      <c r="AM8" s="9">
        <v>-35</v>
      </c>
      <c r="AN8" s="9">
        <v>-32</v>
      </c>
      <c r="AO8" s="9">
        <v>-37</v>
      </c>
      <c r="AP8" s="9">
        <v>-35</v>
      </c>
      <c r="AQ8" s="71">
        <f>SUM(AM8:AP8)</f>
        <v>-139</v>
      </c>
      <c r="AS8" s="9">
        <v>-43</v>
      </c>
      <c r="AT8" s="9">
        <v>-42</v>
      </c>
      <c r="AU8" s="9">
        <v>-56</v>
      </c>
      <c r="AV8" s="9">
        <v>-51</v>
      </c>
      <c r="AW8" s="71">
        <f>SUM(AS8:AV8)</f>
        <v>-192</v>
      </c>
      <c r="AY8" s="9">
        <v>-54</v>
      </c>
      <c r="AZ8" s="9">
        <v>-55</v>
      </c>
      <c r="BA8" s="9">
        <v>-59</v>
      </c>
      <c r="BB8" s="9">
        <v>-54</v>
      </c>
      <c r="BC8" s="71">
        <f>SUM(AY8:BB8)</f>
        <v>-222</v>
      </c>
      <c r="BE8" s="9">
        <v>-59</v>
      </c>
      <c r="BF8" s="9">
        <v>-60</v>
      </c>
      <c r="BG8" s="9">
        <v>-63</v>
      </c>
      <c r="BH8" s="9">
        <v>-61</v>
      </c>
      <c r="BI8" s="71">
        <f>SUM(BE8:BH8)</f>
        <v>-243</v>
      </c>
      <c r="BK8" s="9">
        <v>-62</v>
      </c>
      <c r="BL8" s="9">
        <v>-67</v>
      </c>
      <c r="BM8" s="9">
        <v>-70</v>
      </c>
      <c r="BN8" s="9">
        <v>-80</v>
      </c>
      <c r="BO8" s="71">
        <f>SUM(BK8:BN8)</f>
        <v>-279</v>
      </c>
      <c r="BQ8" s="9">
        <v>-81</v>
      </c>
      <c r="BR8" s="9">
        <v>-80</v>
      </c>
      <c r="BS8" s="9">
        <v>-87</v>
      </c>
      <c r="BT8" s="11">
        <v>-88</v>
      </c>
      <c r="BU8" s="71">
        <f>SUM(BQ8:BT8)</f>
        <v>-336</v>
      </c>
      <c r="BW8" s="9">
        <v>-86</v>
      </c>
      <c r="BX8" s="9">
        <v>-88</v>
      </c>
      <c r="BY8" s="9">
        <v>-90</v>
      </c>
      <c r="BZ8" s="11">
        <v>-96</v>
      </c>
      <c r="CA8" s="71">
        <f>SUM(BW8:BZ8)</f>
        <v>-360</v>
      </c>
      <c r="CC8" s="9">
        <v>-87</v>
      </c>
      <c r="CD8" s="9">
        <v>-85</v>
      </c>
      <c r="CE8" s="9">
        <v>-93</v>
      </c>
      <c r="CF8" s="11">
        <v>-90</v>
      </c>
      <c r="CG8" s="71">
        <f>SUM(CC8:CF8)</f>
        <v>-355</v>
      </c>
      <c r="CI8" s="9">
        <v>-90</v>
      </c>
      <c r="CJ8" s="9">
        <v>-88</v>
      </c>
      <c r="CK8" s="9">
        <v>-86</v>
      </c>
      <c r="CL8" s="11">
        <v>-94</v>
      </c>
      <c r="CM8" s="71">
        <f>SUM(CI8:CL8)</f>
        <v>-358</v>
      </c>
      <c r="CO8" s="9">
        <v>-90</v>
      </c>
      <c r="CP8" s="9">
        <v>-93</v>
      </c>
      <c r="CQ8" s="9"/>
      <c r="CR8" s="11"/>
      <c r="CS8" s="71">
        <f>SUM(CO8:CR8)</f>
        <v>-183</v>
      </c>
    </row>
    <row r="9" spans="1:97">
      <c r="A9" s="2" t="s">
        <v>195</v>
      </c>
      <c r="C9" s="9"/>
      <c r="D9" s="9"/>
      <c r="E9" s="9"/>
      <c r="F9" s="9"/>
      <c r="G9" s="71"/>
      <c r="H9" s="8"/>
      <c r="I9" s="9"/>
      <c r="J9" s="9"/>
      <c r="K9" s="9"/>
      <c r="L9" s="9"/>
      <c r="M9" s="71"/>
      <c r="O9" s="9"/>
      <c r="P9" s="9"/>
      <c r="Q9" s="9"/>
      <c r="R9" s="9"/>
      <c r="S9" s="71"/>
      <c r="U9" s="9">
        <v>-5</v>
      </c>
      <c r="V9" s="9">
        <v>-8</v>
      </c>
      <c r="W9" s="9">
        <v>-8</v>
      </c>
      <c r="X9" s="9">
        <v>-10</v>
      </c>
      <c r="Y9" s="71">
        <f>SUM(U9:X9)</f>
        <v>-31</v>
      </c>
      <c r="AA9" s="9">
        <v>-5</v>
      </c>
      <c r="AB9" s="9">
        <v>-8</v>
      </c>
      <c r="AC9" s="9">
        <v>-8</v>
      </c>
      <c r="AD9" s="9">
        <v>-14</v>
      </c>
      <c r="AE9" s="71">
        <f>SUM(AA9:AD9)</f>
        <v>-35</v>
      </c>
      <c r="AG9" s="9">
        <v>-13</v>
      </c>
      <c r="AH9" s="9">
        <v>-14</v>
      </c>
      <c r="AI9" s="9">
        <v>-14</v>
      </c>
      <c r="AJ9" s="9">
        <v>-22</v>
      </c>
      <c r="AK9" s="71">
        <f>SUM(AG9:AJ9)</f>
        <v>-63</v>
      </c>
      <c r="AM9" s="9">
        <v>-17</v>
      </c>
      <c r="AN9" s="9">
        <v>-17</v>
      </c>
      <c r="AO9" s="9">
        <v>-16</v>
      </c>
      <c r="AP9" s="9">
        <v>-15</v>
      </c>
      <c r="AQ9" s="71">
        <f>SUM(AM9:AP9)</f>
        <v>-65</v>
      </c>
      <c r="AS9" s="9">
        <v>-22</v>
      </c>
      <c r="AT9" s="9">
        <v>-24</v>
      </c>
      <c r="AU9" s="9">
        <v>-29</v>
      </c>
      <c r="AV9" s="9">
        <v>-33</v>
      </c>
      <c r="AW9" s="71">
        <f>SUM(AS9:AV9)</f>
        <v>-108</v>
      </c>
      <c r="AY9" s="9">
        <v>-25</v>
      </c>
      <c r="AZ9" s="9">
        <v>-29</v>
      </c>
      <c r="BA9" s="9">
        <v>-29</v>
      </c>
      <c r="BB9" s="9">
        <v>-42</v>
      </c>
      <c r="BC9" s="71">
        <f>SUM(AY9:BB9)</f>
        <v>-125</v>
      </c>
      <c r="BE9" s="9">
        <v>-32</v>
      </c>
      <c r="BF9" s="9">
        <v>-31</v>
      </c>
      <c r="BG9" s="9">
        <v>-31</v>
      </c>
      <c r="BH9" s="9">
        <v>-30</v>
      </c>
      <c r="BI9" s="71">
        <f>SUM(BE9:BH9)</f>
        <v>-124</v>
      </c>
      <c r="BK9" s="9">
        <v>-31</v>
      </c>
      <c r="BL9" s="9">
        <v>-31</v>
      </c>
      <c r="BM9" s="9">
        <v>-32</v>
      </c>
      <c r="BN9" s="9">
        <v>-46</v>
      </c>
      <c r="BO9" s="71">
        <f>SUM(BK9:BN9)</f>
        <v>-140</v>
      </c>
      <c r="BQ9" s="9">
        <v>-38</v>
      </c>
      <c r="BR9" s="9">
        <v>-34</v>
      </c>
      <c r="BS9" s="9">
        <v>-40</v>
      </c>
      <c r="BT9" s="11">
        <v>-42</v>
      </c>
      <c r="BU9" s="71">
        <f>SUM(BQ9:BT9)</f>
        <v>-154</v>
      </c>
      <c r="BW9" s="9">
        <v>-39</v>
      </c>
      <c r="BX9" s="9">
        <v>-42</v>
      </c>
      <c r="BY9" s="9">
        <v>-47</v>
      </c>
      <c r="BZ9" s="11">
        <v>-42</v>
      </c>
      <c r="CA9" s="71">
        <f>SUM(BW9:BZ9)</f>
        <v>-170</v>
      </c>
      <c r="CC9" s="9">
        <v>-42</v>
      </c>
      <c r="CD9" s="9">
        <v>-45</v>
      </c>
      <c r="CE9" s="9">
        <v>-43</v>
      </c>
      <c r="CF9" s="11">
        <v>-44</v>
      </c>
      <c r="CG9" s="71">
        <f>SUM(CC9:CF9)</f>
        <v>-174</v>
      </c>
      <c r="CI9" s="9">
        <v>-45</v>
      </c>
      <c r="CJ9" s="9">
        <v>-48</v>
      </c>
      <c r="CK9" s="9">
        <v>-43</v>
      </c>
      <c r="CL9" s="11">
        <f>136-178</f>
        <v>-42</v>
      </c>
      <c r="CM9" s="71">
        <f>SUM(CI9:CL9)</f>
        <v>-178</v>
      </c>
      <c r="CO9" s="9">
        <v>-47</v>
      </c>
      <c r="CP9" s="9">
        <v>-51</v>
      </c>
      <c r="CQ9" s="9"/>
      <c r="CR9" s="11"/>
      <c r="CS9" s="71">
        <f>SUM(CO9:CR9)</f>
        <v>-98</v>
      </c>
    </row>
    <row r="10" spans="1:97" s="87" customFormat="1">
      <c r="A10" s="87" t="s">
        <v>202</v>
      </c>
      <c r="B10" s="88"/>
      <c r="C10" s="89">
        <v>0</v>
      </c>
      <c r="D10" s="89">
        <v>0</v>
      </c>
      <c r="E10" s="89">
        <v>0</v>
      </c>
      <c r="F10" s="89">
        <v>0</v>
      </c>
      <c r="G10" s="90">
        <f>SUM(C10:F10)</f>
        <v>0</v>
      </c>
      <c r="H10" s="91"/>
      <c r="I10" s="89">
        <v>0</v>
      </c>
      <c r="J10" s="89">
        <v>0</v>
      </c>
      <c r="K10" s="89">
        <v>0</v>
      </c>
      <c r="L10" s="89">
        <f>-643-6</f>
        <v>-649</v>
      </c>
      <c r="M10" s="90">
        <f>SUM(I10:L10)</f>
        <v>-649</v>
      </c>
      <c r="O10" s="89">
        <v>0</v>
      </c>
      <c r="P10" s="89">
        <v>0</v>
      </c>
      <c r="Q10" s="89">
        <v>0</v>
      </c>
      <c r="R10" s="89">
        <v>-25</v>
      </c>
      <c r="S10" s="90">
        <f>SUM(O10:R10)</f>
        <v>-25</v>
      </c>
      <c r="U10" s="89">
        <v>0</v>
      </c>
      <c r="V10" s="89">
        <v>0</v>
      </c>
      <c r="W10" s="89">
        <v>-65</v>
      </c>
      <c r="X10" s="89">
        <v>8</v>
      </c>
      <c r="Y10" s="90">
        <f>SUM(U10:X10)</f>
        <v>-57</v>
      </c>
      <c r="AA10" s="89">
        <v>0</v>
      </c>
      <c r="AB10" s="89">
        <v>0</v>
      </c>
      <c r="AC10" s="89">
        <v>-65</v>
      </c>
      <c r="AD10" s="89">
        <v>23</v>
      </c>
      <c r="AE10" s="90">
        <f>SUM(AA10:AD10)</f>
        <v>-42</v>
      </c>
      <c r="AG10" s="89">
        <v>0</v>
      </c>
      <c r="AH10" s="89"/>
      <c r="AI10" s="89"/>
      <c r="AJ10" s="89"/>
      <c r="AK10" s="90">
        <f>SUM(AG10:AJ10)</f>
        <v>0</v>
      </c>
      <c r="AM10" s="89"/>
      <c r="AN10" s="89"/>
      <c r="AO10" s="89"/>
      <c r="AP10" s="89"/>
      <c r="AQ10" s="90">
        <f>SUM(AM10:AP10)</f>
        <v>0</v>
      </c>
      <c r="AS10" s="89"/>
      <c r="AT10" s="89"/>
      <c r="AU10" s="89"/>
      <c r="AV10" s="89"/>
      <c r="AW10" s="90">
        <f>SUM(AS10:AV10)</f>
        <v>0</v>
      </c>
      <c r="AY10" s="89"/>
      <c r="AZ10" s="89"/>
      <c r="BA10" s="89"/>
      <c r="BB10" s="89">
        <v>-53</v>
      </c>
      <c r="BC10" s="90">
        <f>SUM(AY10:BB10)</f>
        <v>-53</v>
      </c>
      <c r="BE10" s="89">
        <v>0</v>
      </c>
      <c r="BF10" s="89">
        <v>0</v>
      </c>
      <c r="BG10" s="89">
        <v>0</v>
      </c>
      <c r="BH10" s="89">
        <v>0</v>
      </c>
      <c r="BI10" s="90">
        <f>SUM(BE10:BH10)</f>
        <v>0</v>
      </c>
      <c r="BK10" s="89">
        <v>0</v>
      </c>
      <c r="BL10" s="89">
        <v>0</v>
      </c>
      <c r="BM10" s="89">
        <v>0</v>
      </c>
      <c r="BN10" s="89">
        <v>0</v>
      </c>
      <c r="BO10" s="90">
        <f>SUM(BK10:BN10)</f>
        <v>0</v>
      </c>
      <c r="BQ10" s="89">
        <v>0</v>
      </c>
      <c r="BR10" s="89">
        <v>0</v>
      </c>
      <c r="BS10" s="89">
        <v>0</v>
      </c>
      <c r="BT10" s="92">
        <v>-68</v>
      </c>
      <c r="BU10" s="90">
        <f>SUM(BQ10:BT10)</f>
        <v>-68</v>
      </c>
      <c r="BW10" s="89">
        <v>0</v>
      </c>
      <c r="BX10" s="89">
        <v>0</v>
      </c>
      <c r="BY10" s="89">
        <v>0</v>
      </c>
      <c r="BZ10" s="92">
        <v>-6</v>
      </c>
      <c r="CA10" s="90">
        <f>SUM(BW10:BZ10)</f>
        <v>-6</v>
      </c>
      <c r="CC10" s="89">
        <v>0</v>
      </c>
      <c r="CD10" s="89">
        <v>0</v>
      </c>
      <c r="CE10" s="89">
        <v>0</v>
      </c>
      <c r="CF10" s="92">
        <v>-66</v>
      </c>
      <c r="CG10" s="90">
        <f>SUM(CC10:CF10)</f>
        <v>-66</v>
      </c>
      <c r="CI10" s="89">
        <v>0</v>
      </c>
      <c r="CJ10" s="89">
        <v>0</v>
      </c>
      <c r="CK10" s="89">
        <v>0</v>
      </c>
      <c r="CL10" s="92">
        <v>-20</v>
      </c>
      <c r="CM10" s="90">
        <f>SUM(CI10:CL10)</f>
        <v>-20</v>
      </c>
      <c r="CO10" s="89">
        <v>0</v>
      </c>
      <c r="CP10" s="89">
        <v>-277</v>
      </c>
      <c r="CQ10" s="89"/>
      <c r="CR10" s="92"/>
      <c r="CS10" s="90">
        <f>SUM(CO10:CR10)</f>
        <v>-277</v>
      </c>
    </row>
    <row r="11" spans="1:97" s="6" customFormat="1" ht="18.75" customHeight="1">
      <c r="A11" s="6" t="s">
        <v>3</v>
      </c>
      <c r="B11" s="1"/>
      <c r="C11" s="10">
        <f>SUM(C7:C10)</f>
        <v>-38</v>
      </c>
      <c r="D11" s="10">
        <f>SUM(D7:D10)</f>
        <v>93</v>
      </c>
      <c r="E11" s="10">
        <f>SUM(E7:E10)</f>
        <v>-31</v>
      </c>
      <c r="F11" s="10">
        <f>SUM(F7:F10)</f>
        <v>-34</v>
      </c>
      <c r="G11" s="71">
        <f>SUM(G7:G10)</f>
        <v>-10</v>
      </c>
      <c r="H11" s="8"/>
      <c r="I11" s="10">
        <f>SUM(I7:I10)</f>
        <v>-16</v>
      </c>
      <c r="J11" s="10">
        <f>SUM(J7:J10)</f>
        <v>3</v>
      </c>
      <c r="K11" s="10">
        <f>SUM(K7:K10)</f>
        <v>15</v>
      </c>
      <c r="L11" s="10">
        <f>SUM(L7:L10)</f>
        <v>-807</v>
      </c>
      <c r="M11" s="71">
        <f>SUM(M7:M10)</f>
        <v>-805</v>
      </c>
      <c r="O11" s="10">
        <f>SUM(O7:O10)</f>
        <v>14</v>
      </c>
      <c r="P11" s="10">
        <f>SUM(P7:P10)</f>
        <v>50</v>
      </c>
      <c r="Q11" s="10">
        <f>SUM(Q7:Q10)</f>
        <v>56</v>
      </c>
      <c r="R11" s="10">
        <f>SUM(R7:R10)</f>
        <v>29</v>
      </c>
      <c r="S11" s="71">
        <f>SUM(S7:S10)</f>
        <v>149</v>
      </c>
      <c r="U11" s="10">
        <f>SUM(U7:U10)</f>
        <v>19</v>
      </c>
      <c r="V11" s="10">
        <f>SUM(V7:V10)</f>
        <v>88</v>
      </c>
      <c r="W11" s="10">
        <f>SUM(W7:W10)</f>
        <v>147</v>
      </c>
      <c r="X11" s="10">
        <f>SUM(X7:X10)</f>
        <v>70</v>
      </c>
      <c r="Y11" s="71">
        <f>SUM(Y7:Y10)</f>
        <v>324</v>
      </c>
      <c r="AA11" s="10">
        <f>SUM(AA7:AA10)</f>
        <v>23</v>
      </c>
      <c r="AB11" s="10">
        <f>SUM(AB7:AB10)</f>
        <v>-91</v>
      </c>
      <c r="AC11" s="10">
        <f>SUM(AC7:AC10)</f>
        <v>146</v>
      </c>
      <c r="AD11" s="10">
        <f>SUM(AD7:AD10)</f>
        <v>104</v>
      </c>
      <c r="AE11" s="71">
        <f>SUM(AE7:AE10)</f>
        <v>182</v>
      </c>
      <c r="AG11" s="10">
        <f>SUM(AG7:AG10)</f>
        <v>74</v>
      </c>
      <c r="AH11" s="10">
        <f>SUM(AH7:AH10)</f>
        <v>125</v>
      </c>
      <c r="AI11" s="10">
        <f>SUM(AI7:AI10)</f>
        <v>139</v>
      </c>
      <c r="AJ11" s="10">
        <f>SUM(AJ7:AJ10)</f>
        <v>153</v>
      </c>
      <c r="AK11" s="71">
        <f>SUM(AK7:AK10)</f>
        <v>491</v>
      </c>
      <c r="AM11" s="10">
        <f>SUM(AM7:AM10)</f>
        <v>124</v>
      </c>
      <c r="AN11" s="10">
        <f>SUM(AN7:AN10)</f>
        <v>324</v>
      </c>
      <c r="AO11" s="10">
        <f>SUM(AO7:AO10)</f>
        <v>202</v>
      </c>
      <c r="AP11" s="10">
        <f>SUM(AP7:AP10)</f>
        <v>168</v>
      </c>
      <c r="AQ11" s="71">
        <f>SUM(AQ7:AQ10)</f>
        <v>818</v>
      </c>
      <c r="AS11" s="10">
        <f>SUM(AS7:AS10)</f>
        <v>191</v>
      </c>
      <c r="AT11" s="10">
        <f>SUM(AT7:AT10)</f>
        <v>331</v>
      </c>
      <c r="AU11" s="10">
        <f>SUM(AU7:AU10)</f>
        <v>248</v>
      </c>
      <c r="AV11" s="10">
        <f>SUM(AV7:AV10)</f>
        <v>363</v>
      </c>
      <c r="AW11" s="71">
        <f>SUM(AW7:AW10)</f>
        <v>1133</v>
      </c>
      <c r="AY11" s="43">
        <f>SUM(AY7:AY10)</f>
        <v>226</v>
      </c>
      <c r="AZ11" s="43">
        <f>SUM(AZ7:AZ10)</f>
        <v>377</v>
      </c>
      <c r="BA11" s="43">
        <f>SUM(BA7:BA10)</f>
        <v>241</v>
      </c>
      <c r="BB11" s="43">
        <f>SUM(BB7:BB10)</f>
        <v>-26</v>
      </c>
      <c r="BC11" s="79">
        <f>SUM(BC7:BC10)</f>
        <v>818</v>
      </c>
      <c r="BE11" s="43">
        <f>SUM(BE7:BE10)</f>
        <v>36</v>
      </c>
      <c r="BF11" s="43">
        <f>SUM(BF7:BF10)</f>
        <v>146</v>
      </c>
      <c r="BG11" s="43">
        <f>SUM(BG7:BG10)</f>
        <v>131</v>
      </c>
      <c r="BH11" s="43">
        <f>SUM(BH7:BH10)</f>
        <v>103</v>
      </c>
      <c r="BI11" s="79">
        <f>SUM(BI7:BI10)</f>
        <v>416</v>
      </c>
      <c r="BK11" s="43">
        <f>SUM(BK7:BK10)</f>
        <v>120</v>
      </c>
      <c r="BL11" s="43">
        <f>SUM(BL7:BL10)</f>
        <v>160</v>
      </c>
      <c r="BM11" s="43">
        <f>SUM(BM7:BM10)</f>
        <v>148</v>
      </c>
      <c r="BN11" s="43">
        <f>SUM(BN7:BN10)</f>
        <v>52</v>
      </c>
      <c r="BO11" s="79">
        <f>SUM(BO7:BO10)</f>
        <v>480</v>
      </c>
      <c r="BQ11" s="43">
        <f>SUM(BQ7:BQ10)</f>
        <v>97</v>
      </c>
      <c r="BR11" s="43">
        <f>SUM(BR7:BR10)</f>
        <v>96</v>
      </c>
      <c r="BS11" s="43">
        <f>SUM(BS7:BS10)</f>
        <v>185</v>
      </c>
      <c r="BT11" s="43">
        <f>SUM(BT7:BT10)</f>
        <v>67</v>
      </c>
      <c r="BU11" s="79">
        <f>SUM(BU7:BU10)</f>
        <v>445</v>
      </c>
      <c r="BW11" s="43">
        <f>SUM(BW7:BW10)</f>
        <v>103</v>
      </c>
      <c r="BX11" s="43">
        <f>SUM(BX7:BX10)</f>
        <v>99</v>
      </c>
      <c r="BY11" s="43">
        <f>SUM(BY7:BY10)</f>
        <v>102</v>
      </c>
      <c r="BZ11" s="43">
        <f>SUM(BZ7:BZ10)</f>
        <v>169</v>
      </c>
      <c r="CA11" s="79">
        <f>SUM(CA7:CA10)</f>
        <v>473</v>
      </c>
      <c r="CC11" s="43">
        <f>SUM(CC7:CC10)</f>
        <v>88</v>
      </c>
      <c r="CD11" s="43">
        <f>SUM(CD7:CD10)</f>
        <v>149</v>
      </c>
      <c r="CE11" s="43">
        <f>SUM(CE7:CE10)</f>
        <v>105</v>
      </c>
      <c r="CF11" s="43">
        <f>SUM(CF7:CF10)</f>
        <v>166</v>
      </c>
      <c r="CG11" s="79">
        <f>SUM(CG7:CG10)</f>
        <v>508</v>
      </c>
      <c r="CI11" s="43">
        <f>SUM(CI7:CI10)</f>
        <v>161</v>
      </c>
      <c r="CJ11" s="43">
        <f>SUM(CJ7:CJ10)</f>
        <v>86</v>
      </c>
      <c r="CK11" s="43">
        <f>SUM(CK7:CK10)</f>
        <v>97</v>
      </c>
      <c r="CL11" s="43">
        <f>SUM(CL7:CL10)</f>
        <v>161</v>
      </c>
      <c r="CM11" s="79">
        <f>SUM(CM7:CM10)</f>
        <v>505</v>
      </c>
      <c r="CO11" s="43">
        <f>SUM(CO7:CO10)</f>
        <v>108</v>
      </c>
      <c r="CP11" s="43">
        <f>SUM(CP7:CP10)</f>
        <v>-14</v>
      </c>
      <c r="CQ11" s="43"/>
      <c r="CR11" s="43"/>
      <c r="CS11" s="79">
        <f>SUM(CS7:CS10)</f>
        <v>94</v>
      </c>
    </row>
    <row r="12" spans="1:97" hidden="1">
      <c r="A12" s="2" t="s">
        <v>58</v>
      </c>
      <c r="C12" s="9">
        <f>-18</f>
        <v>-18</v>
      </c>
      <c r="D12" s="9">
        <f>-21+2</f>
        <v>-19</v>
      </c>
      <c r="E12" s="9">
        <f>-20+3</f>
        <v>-17</v>
      </c>
      <c r="F12" s="9">
        <f>-23+4</f>
        <v>-19</v>
      </c>
      <c r="G12" s="71">
        <f>SUM(C12:F12)</f>
        <v>-73</v>
      </c>
      <c r="H12" s="8"/>
      <c r="I12" s="9">
        <f>-21+3</f>
        <v>-18</v>
      </c>
      <c r="J12" s="9">
        <f>-21+2</f>
        <v>-19</v>
      </c>
      <c r="K12" s="9">
        <f>-22+3</f>
        <v>-19</v>
      </c>
      <c r="L12" s="9">
        <f>-22+1</f>
        <v>-21</v>
      </c>
      <c r="M12" s="71">
        <f>SUM(I12:L12)</f>
        <v>-77</v>
      </c>
      <c r="O12" s="9">
        <f>-17+2</f>
        <v>-15</v>
      </c>
      <c r="P12" s="9">
        <f>-16+2</f>
        <v>-14</v>
      </c>
      <c r="Q12" s="9">
        <f>-18+5</f>
        <v>-13</v>
      </c>
      <c r="R12" s="9">
        <f>-20+5</f>
        <v>-15</v>
      </c>
      <c r="S12" s="71">
        <f>SUM(O12:R12)</f>
        <v>-57</v>
      </c>
      <c r="U12" s="9">
        <v>-15</v>
      </c>
      <c r="V12" s="9">
        <v>-21</v>
      </c>
      <c r="W12" s="9">
        <v>-22</v>
      </c>
      <c r="X12" s="9">
        <v>-19</v>
      </c>
      <c r="Y12" s="71">
        <f>SUM(U12:X12)</f>
        <v>-77</v>
      </c>
      <c r="AA12" s="9"/>
      <c r="AB12" s="9"/>
      <c r="AC12" s="9"/>
      <c r="AD12" s="9"/>
      <c r="AE12" s="71">
        <f>SUM(AA12:AD12)</f>
        <v>0</v>
      </c>
      <c r="AG12" s="9"/>
      <c r="AH12" s="9"/>
      <c r="AI12" s="9"/>
      <c r="AJ12" s="9"/>
      <c r="AK12" s="71">
        <f>SUM(AG12:AJ12)</f>
        <v>0</v>
      </c>
      <c r="AM12" s="9"/>
      <c r="AN12" s="9"/>
      <c r="AO12" s="9"/>
      <c r="AP12" s="9"/>
      <c r="AQ12" s="71">
        <f>SUM(AM12:AP12)</f>
        <v>0</v>
      </c>
      <c r="AS12" s="9"/>
      <c r="AT12" s="9"/>
      <c r="AU12" s="9"/>
      <c r="AV12" s="9"/>
      <c r="AW12" s="71">
        <f>SUM(AS12:AV12)</f>
        <v>0</v>
      </c>
      <c r="AY12" s="9"/>
      <c r="AZ12" s="9"/>
      <c r="BA12" s="9"/>
      <c r="BB12" s="9"/>
      <c r="BC12" s="71">
        <f>SUM(AY12:BB12)</f>
        <v>0</v>
      </c>
      <c r="BE12" s="9"/>
      <c r="BF12" s="9"/>
      <c r="BG12" s="9"/>
      <c r="BH12" s="9"/>
      <c r="BI12" s="71">
        <f>SUM(BE12:BH12)</f>
        <v>0</v>
      </c>
      <c r="BK12" s="9"/>
      <c r="BL12" s="9"/>
      <c r="BM12" s="9"/>
      <c r="BN12" s="9"/>
      <c r="BO12" s="71">
        <f>SUM(BK12:BN12)</f>
        <v>0</v>
      </c>
      <c r="BQ12" s="9"/>
      <c r="BR12" s="9"/>
      <c r="BS12" s="9"/>
      <c r="BT12" s="9"/>
      <c r="BU12" s="71">
        <f>SUM(BQ12:BT12)</f>
        <v>0</v>
      </c>
      <c r="BW12" s="9"/>
      <c r="BX12" s="9"/>
      <c r="BY12" s="9"/>
      <c r="BZ12" s="9"/>
      <c r="CA12" s="71">
        <f>SUM(BW12:BZ12)</f>
        <v>0</v>
      </c>
      <c r="CC12" s="9"/>
      <c r="CD12" s="9"/>
      <c r="CE12" s="9"/>
      <c r="CF12" s="9"/>
      <c r="CG12" s="71">
        <f>SUM(CC12:CF12)</f>
        <v>0</v>
      </c>
      <c r="CI12" s="9"/>
      <c r="CJ12" s="9"/>
      <c r="CK12" s="9"/>
      <c r="CL12" s="9"/>
      <c r="CM12" s="71">
        <f>SUM(CI12:CL12)</f>
        <v>0</v>
      </c>
      <c r="CO12" s="9"/>
      <c r="CP12" s="9"/>
      <c r="CQ12" s="9"/>
      <c r="CR12" s="9"/>
      <c r="CS12" s="71">
        <f>SUM(CO12:CR12)</f>
        <v>0</v>
      </c>
    </row>
    <row r="13" spans="1:97" s="87" customFormat="1">
      <c r="A13" s="87" t="s">
        <v>203</v>
      </c>
      <c r="B13" s="88"/>
      <c r="C13" s="89">
        <v>0</v>
      </c>
      <c r="D13" s="89">
        <v>0</v>
      </c>
      <c r="E13" s="89">
        <v>0</v>
      </c>
      <c r="F13" s="89">
        <v>0</v>
      </c>
      <c r="G13" s="90">
        <f>SUM(C13:F13)</f>
        <v>0</v>
      </c>
      <c r="H13" s="91"/>
      <c r="I13" s="89">
        <v>0</v>
      </c>
      <c r="J13" s="89">
        <v>0</v>
      </c>
      <c r="K13" s="89">
        <v>0</v>
      </c>
      <c r="L13" s="89">
        <f>-47+6</f>
        <v>-41</v>
      </c>
      <c r="M13" s="90">
        <f>SUM(I13:L13)</f>
        <v>-41</v>
      </c>
      <c r="O13" s="89">
        <v>0</v>
      </c>
      <c r="P13" s="89"/>
      <c r="Q13" s="89">
        <v>0</v>
      </c>
      <c r="R13" s="89">
        <v>0</v>
      </c>
      <c r="S13" s="90">
        <f>SUM(O13:R13)</f>
        <v>0</v>
      </c>
      <c r="U13" s="89">
        <v>0</v>
      </c>
      <c r="V13" s="89">
        <v>0</v>
      </c>
      <c r="W13" s="89">
        <v>0</v>
      </c>
      <c r="X13" s="89">
        <v>0</v>
      </c>
      <c r="Y13" s="90">
        <f>SUM(U13:X13)</f>
        <v>0</v>
      </c>
      <c r="AA13" s="89"/>
      <c r="AB13" s="89"/>
      <c r="AC13" s="89"/>
      <c r="AD13" s="89"/>
      <c r="AE13" s="90">
        <f>SUM(AA13:AD13)</f>
        <v>0</v>
      </c>
      <c r="AG13" s="89"/>
      <c r="AH13" s="89"/>
      <c r="AI13" s="89"/>
      <c r="AJ13" s="89">
        <v>-6</v>
      </c>
      <c r="AK13" s="90">
        <f>SUM(AG13:AJ13)</f>
        <v>-6</v>
      </c>
      <c r="AM13" s="89"/>
      <c r="AN13" s="89"/>
      <c r="AO13" s="89"/>
      <c r="AP13" s="89"/>
      <c r="AQ13" s="90">
        <f>SUM(AM13:AP13)</f>
        <v>0</v>
      </c>
      <c r="AS13" s="89"/>
      <c r="AT13" s="89"/>
      <c r="AU13" s="89"/>
      <c r="AV13" s="89"/>
      <c r="AW13" s="90">
        <f>SUM(AS13:AV13)</f>
        <v>0</v>
      </c>
      <c r="AY13" s="89"/>
      <c r="AZ13" s="89"/>
      <c r="BA13" s="89"/>
      <c r="BB13" s="89"/>
      <c r="BC13" s="90">
        <f>SUM(AY13:BB13)</f>
        <v>0</v>
      </c>
      <c r="BE13" s="89"/>
      <c r="BF13" s="89"/>
      <c r="BG13" s="89"/>
      <c r="BH13" s="89"/>
      <c r="BI13" s="90">
        <f>SUM(BE13:BH13)</f>
        <v>0</v>
      </c>
      <c r="BK13" s="89">
        <v>0</v>
      </c>
      <c r="BL13" s="89">
        <v>0</v>
      </c>
      <c r="BM13" s="89">
        <v>0</v>
      </c>
      <c r="BN13" s="89">
        <v>0</v>
      </c>
      <c r="BO13" s="90">
        <f>SUM(BK13:BN13)</f>
        <v>0</v>
      </c>
      <c r="BQ13" s="89">
        <v>0</v>
      </c>
      <c r="BR13" s="89">
        <v>0</v>
      </c>
      <c r="BS13" s="89">
        <v>0</v>
      </c>
      <c r="BT13" s="89">
        <v>0</v>
      </c>
      <c r="BU13" s="90">
        <f>SUM(BQ13:BT13)</f>
        <v>0</v>
      </c>
      <c r="BW13" s="89">
        <v>0</v>
      </c>
      <c r="BX13" s="89">
        <v>0</v>
      </c>
      <c r="BY13" s="89">
        <v>0</v>
      </c>
      <c r="BZ13" s="89">
        <v>0</v>
      </c>
      <c r="CA13" s="90">
        <f>SUM(BW13:BZ13)</f>
        <v>0</v>
      </c>
      <c r="CC13" s="89">
        <v>0</v>
      </c>
      <c r="CD13" s="89">
        <v>0</v>
      </c>
      <c r="CE13" s="89">
        <v>0</v>
      </c>
      <c r="CF13" s="89">
        <v>0</v>
      </c>
      <c r="CG13" s="90">
        <f>SUM(CC13:CF13)</f>
        <v>0</v>
      </c>
      <c r="CI13" s="89">
        <v>0</v>
      </c>
      <c r="CJ13" s="89">
        <v>0</v>
      </c>
      <c r="CK13" s="89">
        <v>0</v>
      </c>
      <c r="CL13" s="89">
        <v>0</v>
      </c>
      <c r="CM13" s="90">
        <f>SUM(CI13:CL13)</f>
        <v>0</v>
      </c>
      <c r="CO13" s="89">
        <v>0</v>
      </c>
      <c r="CP13" s="89">
        <v>-28</v>
      </c>
      <c r="CQ13" s="89"/>
      <c r="CR13" s="89"/>
      <c r="CS13" s="90">
        <f>SUM(CO13:CR13)</f>
        <v>-28</v>
      </c>
    </row>
    <row r="14" spans="1:97" s="6" customFormat="1" ht="18.75" customHeight="1">
      <c r="A14" s="6" t="s">
        <v>2</v>
      </c>
      <c r="B14" s="1"/>
      <c r="C14" s="10">
        <f>SUM(C11:C13)</f>
        <v>-56</v>
      </c>
      <c r="D14" s="10">
        <f>SUM(D11:D13)</f>
        <v>74</v>
      </c>
      <c r="E14" s="10">
        <f>SUM(E11:E13)</f>
        <v>-48</v>
      </c>
      <c r="F14" s="10">
        <f>SUM(F11:F13)</f>
        <v>-53</v>
      </c>
      <c r="G14" s="71">
        <f>SUM(G11:G13)</f>
        <v>-83</v>
      </c>
      <c r="H14" s="8"/>
      <c r="I14" s="10">
        <f>SUM(I11:I13)</f>
        <v>-34</v>
      </c>
      <c r="J14" s="10">
        <f>SUM(J11:J13)</f>
        <v>-16</v>
      </c>
      <c r="K14" s="10">
        <f>SUM(K11:K13)</f>
        <v>-4</v>
      </c>
      <c r="L14" s="10">
        <f>SUM(L11:L13)</f>
        <v>-869</v>
      </c>
      <c r="M14" s="71">
        <f>SUM(M11:M13)</f>
        <v>-923</v>
      </c>
      <c r="O14" s="10">
        <f>SUM(O11:O13)</f>
        <v>-1</v>
      </c>
      <c r="P14" s="10">
        <f>SUM(P11:P13)</f>
        <v>36</v>
      </c>
      <c r="Q14" s="10">
        <f>SUM(Q11:Q13)</f>
        <v>43</v>
      </c>
      <c r="R14" s="10">
        <f>SUM(R11:R13)</f>
        <v>14</v>
      </c>
      <c r="S14" s="71">
        <f>SUM(S11:S13)</f>
        <v>92</v>
      </c>
      <c r="U14" s="10">
        <f>SUM(U11:U13)</f>
        <v>4</v>
      </c>
      <c r="V14" s="10">
        <f>SUM(V11:V13)</f>
        <v>67</v>
      </c>
      <c r="W14" s="10">
        <f>SUM(W11:W13)</f>
        <v>125</v>
      </c>
      <c r="X14" s="10">
        <f>SUM(X11:X13)</f>
        <v>51</v>
      </c>
      <c r="Y14" s="71">
        <f>SUM(Y11:Y13)</f>
        <v>247</v>
      </c>
      <c r="AA14" s="10">
        <f>SUM(AA11:AA13)</f>
        <v>23</v>
      </c>
      <c r="AB14" s="10">
        <f>SUM(AB11:AB13)</f>
        <v>-91</v>
      </c>
      <c r="AC14" s="10">
        <f>SUM(AC11:AC13)</f>
        <v>146</v>
      </c>
      <c r="AD14" s="10">
        <f>SUM(AD11:AD13)</f>
        <v>104</v>
      </c>
      <c r="AE14" s="71">
        <f>SUM(AE11:AE13)</f>
        <v>182</v>
      </c>
      <c r="AG14" s="10">
        <f>SUM(AG11:AG13)</f>
        <v>74</v>
      </c>
      <c r="AH14" s="10">
        <f>SUM(AH11:AH13)</f>
        <v>125</v>
      </c>
      <c r="AI14" s="10">
        <f>SUM(AI11:AI13)</f>
        <v>139</v>
      </c>
      <c r="AJ14" s="10">
        <f>SUM(AJ11:AJ13)</f>
        <v>147</v>
      </c>
      <c r="AK14" s="71">
        <f>SUM(AK11:AK13)</f>
        <v>485</v>
      </c>
      <c r="AM14" s="10">
        <f>SUM(AM11:AM13)</f>
        <v>124</v>
      </c>
      <c r="AN14" s="10">
        <f>SUM(AN11:AN13)</f>
        <v>324</v>
      </c>
      <c r="AO14" s="10">
        <f>SUM(AO11:AO13)</f>
        <v>202</v>
      </c>
      <c r="AP14" s="10">
        <f>SUM(AP11:AP13)</f>
        <v>168</v>
      </c>
      <c r="AQ14" s="71">
        <f>SUM(AQ11:AQ13)</f>
        <v>818</v>
      </c>
      <c r="AS14" s="10">
        <f>SUM(AS11:AS13)</f>
        <v>191</v>
      </c>
      <c r="AT14" s="10">
        <f>SUM(AT11:AT13)</f>
        <v>331</v>
      </c>
      <c r="AU14" s="10">
        <f>SUM(AU11:AU13)</f>
        <v>248</v>
      </c>
      <c r="AV14" s="10">
        <f>SUM(AV11:AV13)</f>
        <v>363</v>
      </c>
      <c r="AW14" s="71">
        <f>SUM(AW11:AW13)</f>
        <v>1133</v>
      </c>
      <c r="AY14" s="10">
        <f>SUM(AY11:AY13)</f>
        <v>226</v>
      </c>
      <c r="AZ14" s="10">
        <f>SUM(AZ11:AZ13)</f>
        <v>377</v>
      </c>
      <c r="BA14" s="10">
        <f>SUM(BA11:BA13)</f>
        <v>241</v>
      </c>
      <c r="BB14" s="10">
        <f>SUM(BB11:BB13)</f>
        <v>-26</v>
      </c>
      <c r="BC14" s="71">
        <f>SUM(BC11:BC13)</f>
        <v>818</v>
      </c>
      <c r="BE14" s="10">
        <f>SUM(BE11:BE13)</f>
        <v>36</v>
      </c>
      <c r="BF14" s="10">
        <f>SUM(BF11:BF13)</f>
        <v>146</v>
      </c>
      <c r="BG14" s="10">
        <f>SUM(BG11:BG13)</f>
        <v>131</v>
      </c>
      <c r="BH14" s="10">
        <f>SUM(BH11:BH13)</f>
        <v>103</v>
      </c>
      <c r="BI14" s="71">
        <f>SUM(BI11:BI13)</f>
        <v>416</v>
      </c>
      <c r="BK14" s="10">
        <f>SUM(BK11:BK13)</f>
        <v>120</v>
      </c>
      <c r="BL14" s="10">
        <f>SUM(BL11:BL13)</f>
        <v>160</v>
      </c>
      <c r="BM14" s="10">
        <f>SUM(BM11:BM13)</f>
        <v>148</v>
      </c>
      <c r="BN14" s="10">
        <f>SUM(BN11:BN13)</f>
        <v>52</v>
      </c>
      <c r="BO14" s="71">
        <f>SUM(BO11:BO13)</f>
        <v>480</v>
      </c>
      <c r="BQ14" s="10">
        <f>SUM(BQ11:BQ13)</f>
        <v>97</v>
      </c>
      <c r="BR14" s="10">
        <f>SUM(BR11:BR13)</f>
        <v>96</v>
      </c>
      <c r="BS14" s="10">
        <f>SUM(BS11:BS13)</f>
        <v>185</v>
      </c>
      <c r="BT14" s="10">
        <f>SUM(BT11:BT13)</f>
        <v>67</v>
      </c>
      <c r="BU14" s="71">
        <f>SUM(BU11:BU13)</f>
        <v>445</v>
      </c>
      <c r="BW14" s="10">
        <f>SUM(BW11:BW13)</f>
        <v>103</v>
      </c>
      <c r="BX14" s="10">
        <f>SUM(BX11:BX13)</f>
        <v>99</v>
      </c>
      <c r="BY14" s="10">
        <f>SUM(BY11:BY13)</f>
        <v>102</v>
      </c>
      <c r="BZ14" s="10">
        <f>SUM(BZ11:BZ13)</f>
        <v>169</v>
      </c>
      <c r="CA14" s="71">
        <f>SUM(CA11:CA13)</f>
        <v>473</v>
      </c>
      <c r="CC14" s="10">
        <f>SUM(CC11:CC13)</f>
        <v>88</v>
      </c>
      <c r="CD14" s="10">
        <f>SUM(CD11:CD13)</f>
        <v>149</v>
      </c>
      <c r="CE14" s="10">
        <f>SUM(CE11:CE13)</f>
        <v>105</v>
      </c>
      <c r="CF14" s="10">
        <f>SUM(CF11:CF13)</f>
        <v>166</v>
      </c>
      <c r="CG14" s="71">
        <f>SUM(CG11:CG13)</f>
        <v>508</v>
      </c>
      <c r="CI14" s="10">
        <f>SUM(CI11:CI13)</f>
        <v>161</v>
      </c>
      <c r="CJ14" s="10">
        <f>SUM(CJ11:CJ13)</f>
        <v>86</v>
      </c>
      <c r="CK14" s="10">
        <f>SUM(CK11:CK13)</f>
        <v>97</v>
      </c>
      <c r="CL14" s="10">
        <f>SUM(CL11:CL13)</f>
        <v>161</v>
      </c>
      <c r="CM14" s="71">
        <f>SUM(CM11:CM13)</f>
        <v>505</v>
      </c>
      <c r="CO14" s="10">
        <f>SUM(CO11:CO13)</f>
        <v>108</v>
      </c>
      <c r="CP14" s="10">
        <f>SUM(CP11:CP13)</f>
        <v>-42</v>
      </c>
      <c r="CQ14" s="10"/>
      <c r="CR14" s="10"/>
      <c r="CS14" s="71">
        <f>SUM(CS11:CS13)</f>
        <v>66</v>
      </c>
    </row>
    <row r="15" spans="1:97" s="87" customFormat="1">
      <c r="A15" s="87" t="s">
        <v>4</v>
      </c>
      <c r="B15" s="88"/>
      <c r="C15" s="89">
        <v>51</v>
      </c>
      <c r="D15" s="89">
        <v>8</v>
      </c>
      <c r="E15" s="89">
        <v>-7</v>
      </c>
      <c r="F15" s="89">
        <v>-14</v>
      </c>
      <c r="G15" s="90">
        <f>SUM(C15:F15)</f>
        <v>38</v>
      </c>
      <c r="H15" s="91"/>
      <c r="I15" s="89">
        <v>-3</v>
      </c>
      <c r="J15" s="89">
        <v>-10</v>
      </c>
      <c r="K15" s="89">
        <v>-2</v>
      </c>
      <c r="L15" s="89">
        <v>-2</v>
      </c>
      <c r="M15" s="90">
        <f>SUM(I15:L15)</f>
        <v>-17</v>
      </c>
      <c r="O15" s="89">
        <v>-1</v>
      </c>
      <c r="P15" s="89">
        <v>-5</v>
      </c>
      <c r="Q15" s="89">
        <v>-2</v>
      </c>
      <c r="R15" s="89">
        <v>24</v>
      </c>
      <c r="S15" s="90">
        <f>SUM(O15:R15)</f>
        <v>16</v>
      </c>
      <c r="U15" s="89">
        <v>-1</v>
      </c>
      <c r="V15" s="89">
        <v>-13</v>
      </c>
      <c r="W15" s="89">
        <v>-16</v>
      </c>
      <c r="X15" s="89">
        <v>20</v>
      </c>
      <c r="Y15" s="90">
        <f>SUM(U15:X15)</f>
        <v>-10</v>
      </c>
      <c r="AA15" s="89">
        <v>0</v>
      </c>
      <c r="AB15" s="89">
        <v>-11</v>
      </c>
      <c r="AC15" s="89">
        <v>-13</v>
      </c>
      <c r="AD15" s="89">
        <v>0</v>
      </c>
      <c r="AE15" s="90">
        <f>SUM(AA15:AD15)</f>
        <v>-24</v>
      </c>
      <c r="AG15" s="89">
        <v>-15</v>
      </c>
      <c r="AH15" s="89">
        <v>1</v>
      </c>
      <c r="AI15" s="89">
        <v>-1</v>
      </c>
      <c r="AJ15" s="89">
        <v>-7</v>
      </c>
      <c r="AK15" s="90">
        <f>SUM(AG15:AJ15)</f>
        <v>-22</v>
      </c>
      <c r="AM15" s="89">
        <v>-14</v>
      </c>
      <c r="AN15" s="89">
        <v>-12</v>
      </c>
      <c r="AO15" s="89">
        <v>-9</v>
      </c>
      <c r="AP15" s="89">
        <v>-14</v>
      </c>
      <c r="AQ15" s="90">
        <f>SUM(AM15:AP15)</f>
        <v>-49</v>
      </c>
      <c r="AS15" s="89">
        <v>-31</v>
      </c>
      <c r="AT15" s="89">
        <v>-23</v>
      </c>
      <c r="AU15" s="89">
        <v>-33</v>
      </c>
      <c r="AV15" s="89">
        <v>-58</v>
      </c>
      <c r="AW15" s="90">
        <f>SUM(AS15:AV15)</f>
        <v>-145</v>
      </c>
      <c r="AY15" s="89">
        <v>-42</v>
      </c>
      <c r="AZ15" s="89">
        <v>-68</v>
      </c>
      <c r="BA15" s="89">
        <v>-54</v>
      </c>
      <c r="BB15" s="89">
        <v>-62</v>
      </c>
      <c r="BC15" s="90">
        <f>SUM(AY15:BB15)</f>
        <v>-226</v>
      </c>
      <c r="BE15" s="89">
        <v>-35</v>
      </c>
      <c r="BF15" s="89">
        <v>-26</v>
      </c>
      <c r="BG15" s="89">
        <v>-24</v>
      </c>
      <c r="BH15" s="89">
        <v>-40</v>
      </c>
      <c r="BI15" s="90">
        <f>SUM(BE15:BH15)</f>
        <v>-125</v>
      </c>
      <c r="BK15" s="89">
        <v>-27</v>
      </c>
      <c r="BL15" s="89">
        <v>-22</v>
      </c>
      <c r="BM15" s="89">
        <v>-43</v>
      </c>
      <c r="BN15" s="89">
        <v>-43</v>
      </c>
      <c r="BO15" s="90">
        <f>SUM(BK15:BN15)</f>
        <v>-135</v>
      </c>
      <c r="BQ15" s="89">
        <v>-43</v>
      </c>
      <c r="BR15" s="89">
        <v>-61</v>
      </c>
      <c r="BS15" s="89">
        <v>-106</v>
      </c>
      <c r="BT15" s="89">
        <v>-70</v>
      </c>
      <c r="BU15" s="90">
        <f>SUM(BQ15:BT15)</f>
        <v>-280</v>
      </c>
      <c r="BW15" s="89">
        <v>-59</v>
      </c>
      <c r="BX15" s="89">
        <v>-52</v>
      </c>
      <c r="BY15" s="89">
        <v>-44</v>
      </c>
      <c r="BZ15" s="89">
        <v>-41</v>
      </c>
      <c r="CA15" s="90">
        <f>SUM(BW15:BZ15)</f>
        <v>-196</v>
      </c>
      <c r="CC15" s="89">
        <v>-48</v>
      </c>
      <c r="CD15" s="89">
        <v>-40</v>
      </c>
      <c r="CE15" s="89">
        <v>-36</v>
      </c>
      <c r="CF15" s="89">
        <v>-36</v>
      </c>
      <c r="CG15" s="90">
        <f>SUM(CC15:CF15)</f>
        <v>-160</v>
      </c>
      <c r="CI15" s="89">
        <v>-25</v>
      </c>
      <c r="CJ15" s="89">
        <v>-27</v>
      </c>
      <c r="CK15" s="89">
        <v>-21</v>
      </c>
      <c r="CL15" s="89">
        <v>-26</v>
      </c>
      <c r="CM15" s="90">
        <f>SUM(CI15:CL15)</f>
        <v>-99</v>
      </c>
      <c r="CO15" s="89">
        <v>16</v>
      </c>
      <c r="CP15" s="89">
        <v>-21</v>
      </c>
      <c r="CQ15" s="89"/>
      <c r="CR15" s="89"/>
      <c r="CS15" s="90">
        <f>SUM(CO15:CR15)</f>
        <v>-5</v>
      </c>
    </row>
    <row r="16" spans="1:97" s="6" customFormat="1" ht="18.75" customHeight="1">
      <c r="A16" s="1" t="s">
        <v>5</v>
      </c>
      <c r="B16" s="1"/>
      <c r="C16" s="10">
        <f>SUM(C14:C15)</f>
        <v>-5</v>
      </c>
      <c r="D16" s="10">
        <f>SUM(D14:D15)</f>
        <v>82</v>
      </c>
      <c r="E16" s="10">
        <f>SUM(E14:E15)</f>
        <v>-55</v>
      </c>
      <c r="F16" s="10">
        <f>SUM(F14:F15)</f>
        <v>-67</v>
      </c>
      <c r="G16" s="71">
        <f>SUM(G14:G15)</f>
        <v>-45</v>
      </c>
      <c r="H16" s="8"/>
      <c r="I16" s="10">
        <f>SUM(I14:I15)</f>
        <v>-37</v>
      </c>
      <c r="J16" s="10">
        <f>SUM(J14:J15)</f>
        <v>-26</v>
      </c>
      <c r="K16" s="10">
        <f>SUM(K14:K15)</f>
        <v>-6</v>
      </c>
      <c r="L16" s="10">
        <f>SUM(L14:L15)</f>
        <v>-871</v>
      </c>
      <c r="M16" s="71">
        <f>SUM(M14:M15)</f>
        <v>-940</v>
      </c>
      <c r="O16" s="10">
        <f>SUM(O14:O15)</f>
        <v>-2</v>
      </c>
      <c r="P16" s="10">
        <f>SUM(P14:P15)</f>
        <v>31</v>
      </c>
      <c r="Q16" s="10">
        <f>SUM(Q14:Q15)</f>
        <v>41</v>
      </c>
      <c r="R16" s="10">
        <f>SUM(R14:R15)</f>
        <v>38</v>
      </c>
      <c r="S16" s="71">
        <f>SUM(S14:S15)</f>
        <v>108</v>
      </c>
      <c r="U16" s="10">
        <f>SUM(U14:U15)</f>
        <v>3</v>
      </c>
      <c r="V16" s="10">
        <f>SUM(V14:V15)</f>
        <v>54</v>
      </c>
      <c r="W16" s="10">
        <f>SUM(W14:W15)</f>
        <v>109</v>
      </c>
      <c r="X16" s="10">
        <f>SUM(X14:X15)</f>
        <v>71</v>
      </c>
      <c r="Y16" s="71">
        <f>SUM(Y14:Y15)</f>
        <v>237</v>
      </c>
      <c r="AA16" s="10">
        <f>SUM(AA14:AA15)</f>
        <v>23</v>
      </c>
      <c r="AB16" s="10">
        <f>SUM(AB14:AB15)</f>
        <v>-102</v>
      </c>
      <c r="AC16" s="10">
        <f>SUM(AC14:AC15)</f>
        <v>133</v>
      </c>
      <c r="AD16" s="10">
        <f>SUM(AD14:AD15)</f>
        <v>104</v>
      </c>
      <c r="AE16" s="71">
        <f>SUM(AE14:AE15)</f>
        <v>158</v>
      </c>
      <c r="AG16" s="10">
        <f>SUM(AG14:AG15)</f>
        <v>59</v>
      </c>
      <c r="AH16" s="10">
        <f>SUM(AH14:AH15)</f>
        <v>126</v>
      </c>
      <c r="AI16" s="10">
        <f>SUM(AI14:AI15)</f>
        <v>138</v>
      </c>
      <c r="AJ16" s="10">
        <f>SUM(AJ14:AJ15)</f>
        <v>140</v>
      </c>
      <c r="AK16" s="71">
        <f>SUM(AK14:AK15)</f>
        <v>463</v>
      </c>
      <c r="AM16" s="10">
        <f>SUM(AM14:AM15)</f>
        <v>110</v>
      </c>
      <c r="AN16" s="10">
        <f>SUM(AN14:AN15)</f>
        <v>312</v>
      </c>
      <c r="AO16" s="10">
        <f>SUM(AO14:AO15)</f>
        <v>193</v>
      </c>
      <c r="AP16" s="10">
        <f>SUM(AP14:AP15)</f>
        <v>154</v>
      </c>
      <c r="AQ16" s="71">
        <f>SUM(AQ14:AQ15)</f>
        <v>769</v>
      </c>
      <c r="AS16" s="10">
        <f>SUM(AS14:AS15)</f>
        <v>160</v>
      </c>
      <c r="AT16" s="10">
        <f>SUM(AT14:AT15)</f>
        <v>308</v>
      </c>
      <c r="AU16" s="10">
        <f>SUM(AU14:AU15)</f>
        <v>215</v>
      </c>
      <c r="AV16" s="10">
        <f>SUM(AV14:AV15)</f>
        <v>305</v>
      </c>
      <c r="AW16" s="71">
        <f>SUM(AW14:AW15)</f>
        <v>988</v>
      </c>
      <c r="AY16" s="10">
        <f>SUM(AY14:AY15)</f>
        <v>184</v>
      </c>
      <c r="AZ16" s="10">
        <f>SUM(AZ14:AZ15)</f>
        <v>309</v>
      </c>
      <c r="BA16" s="10">
        <f>SUM(BA14:BA15)</f>
        <v>187</v>
      </c>
      <c r="BB16" s="10">
        <f>SUM(BB14:BB15)</f>
        <v>-88</v>
      </c>
      <c r="BC16" s="71">
        <f>SUM(BC14:BC15)</f>
        <v>592</v>
      </c>
      <c r="BE16" s="10">
        <f>SUM(BE14:BE15)</f>
        <v>1</v>
      </c>
      <c r="BF16" s="10">
        <f>SUM(BF14:BF15)</f>
        <v>120</v>
      </c>
      <c r="BG16" s="10">
        <f>SUM(BG14:BG15)</f>
        <v>107</v>
      </c>
      <c r="BH16" s="10">
        <f>SUM(BH14:BH15)</f>
        <v>63</v>
      </c>
      <c r="BI16" s="71">
        <f>SUM(BI14:BI15)</f>
        <v>291</v>
      </c>
      <c r="BK16" s="10">
        <f>SUM(BK14:BK15)</f>
        <v>93</v>
      </c>
      <c r="BL16" s="10">
        <f>SUM(BL14:BL15)</f>
        <v>138</v>
      </c>
      <c r="BM16" s="10">
        <f>SUM(BM14:BM15)</f>
        <v>105</v>
      </c>
      <c r="BN16" s="10">
        <f>SUM(BN14:BN15)</f>
        <v>9</v>
      </c>
      <c r="BO16" s="71">
        <f>SUM(BO14:BO15)</f>
        <v>345</v>
      </c>
      <c r="BQ16" s="10">
        <f>SUM(BQ14:BQ15)</f>
        <v>54</v>
      </c>
      <c r="BR16" s="10">
        <f>SUM(BR14:BR15)</f>
        <v>35</v>
      </c>
      <c r="BS16" s="10">
        <f>SUM(BS14:BS15)</f>
        <v>79</v>
      </c>
      <c r="BT16" s="10">
        <f>SUM(BT14:BT15)</f>
        <v>-3</v>
      </c>
      <c r="BU16" s="71">
        <f>SUM(BU14:BU15)</f>
        <v>165</v>
      </c>
      <c r="BW16" s="10">
        <f>SUM(BW14:BW15)</f>
        <v>44</v>
      </c>
      <c r="BX16" s="10">
        <f>SUM(BX14:BX15)</f>
        <v>47</v>
      </c>
      <c r="BY16" s="10">
        <f>SUM(BY14:BY15)</f>
        <v>58</v>
      </c>
      <c r="BZ16" s="10">
        <f>SUM(BZ14:BZ15)</f>
        <v>128</v>
      </c>
      <c r="CA16" s="71">
        <f>SUM(CA14:CA15)</f>
        <v>277</v>
      </c>
      <c r="CC16" s="10">
        <f>SUM(CC14:CC15)</f>
        <v>40</v>
      </c>
      <c r="CD16" s="10">
        <f>SUM(CD14:CD15)</f>
        <v>109</v>
      </c>
      <c r="CE16" s="10">
        <f>SUM(CE14:CE15)</f>
        <v>69</v>
      </c>
      <c r="CF16" s="10">
        <f>SUM(CF14:CF15)</f>
        <v>130</v>
      </c>
      <c r="CG16" s="71">
        <f>SUM(CG14:CG15)</f>
        <v>348</v>
      </c>
      <c r="CI16" s="10">
        <f>SUM(CI14:CI15)</f>
        <v>136</v>
      </c>
      <c r="CJ16" s="10">
        <f>SUM(CJ14:CJ15)</f>
        <v>59</v>
      </c>
      <c r="CK16" s="10">
        <f>SUM(CK14:CK15)</f>
        <v>76</v>
      </c>
      <c r="CL16" s="10">
        <f>SUM(CL14:CL15)</f>
        <v>135</v>
      </c>
      <c r="CM16" s="71">
        <f>SUM(CM14:CM15)</f>
        <v>406</v>
      </c>
      <c r="CO16" s="10">
        <f>SUM(CO14:CO15)</f>
        <v>124</v>
      </c>
      <c r="CP16" s="10">
        <f>SUM(CP14:CP15)</f>
        <v>-63</v>
      </c>
      <c r="CQ16" s="10"/>
      <c r="CR16" s="10"/>
      <c r="CS16" s="71">
        <f>SUM(CS14:CS15)</f>
        <v>61</v>
      </c>
    </row>
    <row r="17" spans="1:97" s="6" customFormat="1" ht="12.75" customHeight="1">
      <c r="A17" s="2" t="s">
        <v>105</v>
      </c>
      <c r="B17" s="1"/>
      <c r="C17" s="10"/>
      <c r="D17" s="10"/>
      <c r="E17" s="10"/>
      <c r="F17" s="10"/>
      <c r="G17" s="71"/>
      <c r="H17" s="8"/>
      <c r="I17" s="10"/>
      <c r="J17" s="10"/>
      <c r="K17" s="10"/>
      <c r="L17" s="10"/>
      <c r="M17" s="71"/>
      <c r="O17" s="10"/>
      <c r="P17" s="10"/>
      <c r="Q17" s="10"/>
      <c r="R17" s="10"/>
      <c r="S17" s="71"/>
      <c r="U17" s="10"/>
      <c r="V17" s="10"/>
      <c r="W17" s="10"/>
      <c r="X17" s="10"/>
      <c r="Y17" s="71"/>
      <c r="AA17" s="10">
        <v>0</v>
      </c>
      <c r="AB17" s="10">
        <v>-1</v>
      </c>
      <c r="AC17" s="10">
        <v>5</v>
      </c>
      <c r="AD17" s="10">
        <v>-25</v>
      </c>
      <c r="AE17" s="71">
        <f>SUM(AA17:AD17)</f>
        <v>-21</v>
      </c>
      <c r="AG17" s="10">
        <v>1</v>
      </c>
      <c r="AH17" s="10">
        <v>0</v>
      </c>
      <c r="AI17" s="10">
        <v>0</v>
      </c>
      <c r="AJ17" s="10">
        <v>0</v>
      </c>
      <c r="AK17" s="71">
        <f>SUM(AG17:AJ17)</f>
        <v>1</v>
      </c>
      <c r="AM17" s="10">
        <v>0</v>
      </c>
      <c r="AN17" s="10">
        <v>0</v>
      </c>
      <c r="AO17" s="10"/>
      <c r="AP17" s="10"/>
      <c r="AQ17" s="71">
        <f>SUM(AM17:AP17)</f>
        <v>0</v>
      </c>
      <c r="AS17" s="10">
        <v>0</v>
      </c>
      <c r="AT17" s="10" t="s">
        <v>63</v>
      </c>
      <c r="AU17" s="10"/>
      <c r="AV17" s="10"/>
      <c r="AW17" s="71">
        <f>SUM(AS17:AV17)</f>
        <v>0</v>
      </c>
      <c r="AY17" s="10">
        <v>0</v>
      </c>
      <c r="AZ17" s="10"/>
      <c r="BA17" s="10"/>
      <c r="BB17" s="10"/>
      <c r="BC17" s="71">
        <f>SUM(AY17:BB17)</f>
        <v>0</v>
      </c>
      <c r="BE17" s="10">
        <v>0</v>
      </c>
      <c r="BF17" s="10"/>
      <c r="BG17" s="10"/>
      <c r="BH17" s="10"/>
      <c r="BI17" s="71">
        <f>SUM(BE17:BH17)</f>
        <v>0</v>
      </c>
      <c r="BK17" s="9">
        <v>0</v>
      </c>
      <c r="BL17" s="9">
        <v>0</v>
      </c>
      <c r="BM17" s="9">
        <v>0</v>
      </c>
      <c r="BN17" s="9">
        <v>0</v>
      </c>
      <c r="BO17" s="74">
        <f>SUM(BK17:BN17)</f>
        <v>0</v>
      </c>
      <c r="BP17" s="2"/>
      <c r="BQ17" s="9">
        <v>0</v>
      </c>
      <c r="BR17" s="9">
        <v>0</v>
      </c>
      <c r="BS17" s="9">
        <v>0</v>
      </c>
      <c r="BT17" s="9">
        <v>0</v>
      </c>
      <c r="BU17" s="74">
        <f>SUM(BQ17:BT17)</f>
        <v>0</v>
      </c>
      <c r="BV17" s="2"/>
      <c r="BW17" s="9">
        <v>0</v>
      </c>
      <c r="BX17" s="9">
        <v>1404</v>
      </c>
      <c r="BY17" s="9">
        <v>0</v>
      </c>
      <c r="BZ17" s="9">
        <v>6</v>
      </c>
      <c r="CA17" s="74">
        <f>SUM(BW17:BZ17)</f>
        <v>1410</v>
      </c>
      <c r="CC17" s="9"/>
      <c r="CD17" s="9"/>
      <c r="CE17" s="9"/>
      <c r="CF17" s="9"/>
      <c r="CG17" s="74">
        <f>SUM(CC17:CF17)</f>
        <v>0</v>
      </c>
      <c r="CI17" s="9"/>
      <c r="CJ17" s="9"/>
      <c r="CK17" s="9"/>
      <c r="CL17" s="9"/>
      <c r="CM17" s="74">
        <f>SUM(CI17:CL17)</f>
        <v>0</v>
      </c>
      <c r="CO17" s="9"/>
      <c r="CP17" s="9"/>
      <c r="CQ17" s="9"/>
      <c r="CR17" s="9"/>
      <c r="CS17" s="74">
        <f>SUM(CO17:CR17)</f>
        <v>0</v>
      </c>
    </row>
    <row r="18" spans="1:97" s="87" customFormat="1">
      <c r="A18" s="87" t="s">
        <v>6</v>
      </c>
      <c r="B18" s="88"/>
      <c r="C18" s="89">
        <v>-4</v>
      </c>
      <c r="D18" s="89">
        <v>-9</v>
      </c>
      <c r="E18" s="89">
        <v>-1</v>
      </c>
      <c r="F18" s="89">
        <v>-6</v>
      </c>
      <c r="G18" s="90">
        <f>SUM(C18:F18)</f>
        <v>-20</v>
      </c>
      <c r="H18" s="91"/>
      <c r="I18" s="89">
        <v>-4</v>
      </c>
      <c r="J18" s="89">
        <v>-7</v>
      </c>
      <c r="K18" s="89">
        <v>-4</v>
      </c>
      <c r="L18" s="89">
        <v>99</v>
      </c>
      <c r="M18" s="90">
        <f>SUM(I18:L18)</f>
        <v>84</v>
      </c>
      <c r="O18" s="89">
        <v>-6</v>
      </c>
      <c r="P18" s="89">
        <v>-8</v>
      </c>
      <c r="Q18" s="89">
        <v>-2</v>
      </c>
      <c r="R18" s="89">
        <v>-15</v>
      </c>
      <c r="S18" s="90">
        <f>SUM(O18:R18)</f>
        <v>-31</v>
      </c>
      <c r="U18" s="89">
        <v>-7</v>
      </c>
      <c r="V18" s="89">
        <v>-10</v>
      </c>
      <c r="W18" s="89">
        <v>-4</v>
      </c>
      <c r="X18" s="89">
        <v>27</v>
      </c>
      <c r="Y18" s="90">
        <f>SUM(U18:X18)</f>
        <v>6</v>
      </c>
      <c r="AA18" s="89">
        <v>-6</v>
      </c>
      <c r="AB18" s="89">
        <v>44</v>
      </c>
      <c r="AC18" s="89">
        <v>-4</v>
      </c>
      <c r="AD18" s="89">
        <v>27</v>
      </c>
      <c r="AE18" s="90">
        <f>SUM(AA18:AD18)</f>
        <v>61</v>
      </c>
      <c r="AG18" s="89">
        <v>-7</v>
      </c>
      <c r="AH18" s="89">
        <v>-21</v>
      </c>
      <c r="AI18" s="89">
        <v>-21</v>
      </c>
      <c r="AJ18" s="89">
        <v>-54</v>
      </c>
      <c r="AK18" s="90">
        <f>SUM(AG18:AJ18)</f>
        <v>-103</v>
      </c>
      <c r="AM18" s="89">
        <v>-25</v>
      </c>
      <c r="AN18" s="89">
        <v>-84</v>
      </c>
      <c r="AO18" s="89">
        <v>-47</v>
      </c>
      <c r="AP18" s="89">
        <v>-10</v>
      </c>
      <c r="AQ18" s="90">
        <f>SUM(AM18:AP18)</f>
        <v>-166</v>
      </c>
      <c r="AS18" s="89">
        <v>-40</v>
      </c>
      <c r="AT18" s="89">
        <v>-84</v>
      </c>
      <c r="AU18" s="89">
        <v>-48</v>
      </c>
      <c r="AV18" s="89">
        <v>4</v>
      </c>
      <c r="AW18" s="90">
        <f>SUM(AS18:AV18)</f>
        <v>-168</v>
      </c>
      <c r="AY18" s="89">
        <v>-46</v>
      </c>
      <c r="AZ18" s="89">
        <v>-77</v>
      </c>
      <c r="BA18" s="89">
        <v>-48</v>
      </c>
      <c r="BB18" s="89">
        <v>-17</v>
      </c>
      <c r="BC18" s="90">
        <f>SUM(AY18:BB18)</f>
        <v>-188</v>
      </c>
      <c r="BE18" s="89">
        <v>-1</v>
      </c>
      <c r="BF18" s="89">
        <v>-26</v>
      </c>
      <c r="BG18" s="89">
        <v>-36</v>
      </c>
      <c r="BH18" s="89">
        <v>10</v>
      </c>
      <c r="BI18" s="90">
        <f>SUM(BE18:BH18)</f>
        <v>-53</v>
      </c>
      <c r="BK18" s="89">
        <v>-28</v>
      </c>
      <c r="BL18" s="89">
        <v>-41</v>
      </c>
      <c r="BM18" s="89">
        <v>-25</v>
      </c>
      <c r="BN18" s="89">
        <v>19</v>
      </c>
      <c r="BO18" s="90">
        <f>SUM(BK18:BN18)</f>
        <v>-75</v>
      </c>
      <c r="BQ18" s="89">
        <v>-3</v>
      </c>
      <c r="BR18" s="89">
        <v>-5</v>
      </c>
      <c r="BS18" s="89">
        <v>-36</v>
      </c>
      <c r="BT18" s="89">
        <v>6</v>
      </c>
      <c r="BU18" s="90">
        <f>SUM(BQ18:BT18)</f>
        <v>-38</v>
      </c>
      <c r="BW18" s="89">
        <v>-13</v>
      </c>
      <c r="BX18" s="89">
        <v>-12</v>
      </c>
      <c r="BY18" s="89">
        <v>-21</v>
      </c>
      <c r="BZ18" s="89">
        <v>-35</v>
      </c>
      <c r="CA18" s="90">
        <f>SUM(BW18:BZ18)</f>
        <v>-81</v>
      </c>
      <c r="CC18" s="89">
        <v>-15</v>
      </c>
      <c r="CD18" s="89">
        <v>-33</v>
      </c>
      <c r="CE18" s="89">
        <v>-16</v>
      </c>
      <c r="CF18" s="89">
        <v>-31</v>
      </c>
      <c r="CG18" s="90">
        <f>SUM(CC18:CF18)</f>
        <v>-95</v>
      </c>
      <c r="CI18" s="89">
        <v>-49</v>
      </c>
      <c r="CJ18" s="89">
        <v>-12</v>
      </c>
      <c r="CK18" s="89">
        <v>-16</v>
      </c>
      <c r="CL18" s="89">
        <v>-49</v>
      </c>
      <c r="CM18" s="90">
        <f>SUM(CI18:CL18)</f>
        <v>-126</v>
      </c>
      <c r="CO18" s="89">
        <v>-33</v>
      </c>
      <c r="CP18" s="89">
        <v>-143</v>
      </c>
      <c r="CQ18" s="89"/>
      <c r="CR18" s="89"/>
      <c r="CS18" s="90">
        <f>SUM(CO18:CR18)</f>
        <v>-176</v>
      </c>
    </row>
    <row r="19" spans="1:97" s="94" customFormat="1" ht="18.75" customHeight="1">
      <c r="A19" s="94" t="s">
        <v>7</v>
      </c>
      <c r="B19" s="95"/>
      <c r="C19" s="96">
        <f>SUM(C16:C18)</f>
        <v>-9</v>
      </c>
      <c r="D19" s="96">
        <f>SUM(D16:D18)</f>
        <v>73</v>
      </c>
      <c r="E19" s="96">
        <f>SUM(E16:E18)</f>
        <v>-56</v>
      </c>
      <c r="F19" s="96">
        <f>SUM(F16:F18)</f>
        <v>-73</v>
      </c>
      <c r="G19" s="97">
        <f>SUM(G16:G18)</f>
        <v>-65</v>
      </c>
      <c r="H19" s="98"/>
      <c r="I19" s="96">
        <f>SUM(I16:I18)</f>
        <v>-41</v>
      </c>
      <c r="J19" s="96">
        <f>SUM(J16:J18)</f>
        <v>-33</v>
      </c>
      <c r="K19" s="96">
        <f>SUM(K16:K18)</f>
        <v>-10</v>
      </c>
      <c r="L19" s="96">
        <f>SUM(L16:L18)</f>
        <v>-772</v>
      </c>
      <c r="M19" s="97">
        <f>SUM(M16:M18)</f>
        <v>-856</v>
      </c>
      <c r="O19" s="96">
        <f>SUM(O16:O18)</f>
        <v>-8</v>
      </c>
      <c r="P19" s="96">
        <f>SUM(P16:P18)</f>
        <v>23</v>
      </c>
      <c r="Q19" s="96">
        <f>SUM(Q16:Q18)</f>
        <v>39</v>
      </c>
      <c r="R19" s="96">
        <f>SUM(R16:R18)</f>
        <v>23</v>
      </c>
      <c r="S19" s="97">
        <f>SUM(S16:S18)</f>
        <v>77</v>
      </c>
      <c r="U19" s="96">
        <f>SUM(U16:U18)</f>
        <v>-4</v>
      </c>
      <c r="V19" s="96">
        <f>SUM(V16:V18)</f>
        <v>44</v>
      </c>
      <c r="W19" s="96">
        <f>SUM(W16:W18)</f>
        <v>105</v>
      </c>
      <c r="X19" s="96">
        <f>SUM(X16:X18)</f>
        <v>98</v>
      </c>
      <c r="Y19" s="97">
        <f>SUM(Y16:Y18)</f>
        <v>243</v>
      </c>
      <c r="AA19" s="96">
        <f>SUM(AA16:AA18)</f>
        <v>17</v>
      </c>
      <c r="AB19" s="96">
        <f>SUM(AB16:AB18)</f>
        <v>-59</v>
      </c>
      <c r="AC19" s="96">
        <f>SUM(AC16:AC18)</f>
        <v>134</v>
      </c>
      <c r="AD19" s="96">
        <f>SUM(AD16:AD18)</f>
        <v>106</v>
      </c>
      <c r="AE19" s="97">
        <f>SUM(AE16:AE18)</f>
        <v>198</v>
      </c>
      <c r="AG19" s="96">
        <f>SUM(AG16:AG18)</f>
        <v>53</v>
      </c>
      <c r="AH19" s="96">
        <f>SUM(AH16:AH18)</f>
        <v>105</v>
      </c>
      <c r="AI19" s="96">
        <f>SUM(AI16:AI18)</f>
        <v>117</v>
      </c>
      <c r="AJ19" s="96">
        <f>SUM(AJ16:AJ18)</f>
        <v>86</v>
      </c>
      <c r="AK19" s="97">
        <f>SUM(AK16:AK18)</f>
        <v>361</v>
      </c>
      <c r="AM19" s="96">
        <f>SUM(AM16:AM18)</f>
        <v>85</v>
      </c>
      <c r="AN19" s="96">
        <f>SUM(AN16:AN18)</f>
        <v>228</v>
      </c>
      <c r="AO19" s="96">
        <f>SUM(AO16:AO18)</f>
        <v>146</v>
      </c>
      <c r="AP19" s="96">
        <f>SUM(AP16:AP18)</f>
        <v>144</v>
      </c>
      <c r="AQ19" s="97">
        <f>SUM(AQ16:AQ18)</f>
        <v>603</v>
      </c>
      <c r="AS19" s="96">
        <f>SUM(AS16:AS18)</f>
        <v>120</v>
      </c>
      <c r="AT19" s="96">
        <f>SUM(AT16:AT18)</f>
        <v>224</v>
      </c>
      <c r="AU19" s="96">
        <f>SUM(AU16:AU18)</f>
        <v>167</v>
      </c>
      <c r="AV19" s="96">
        <f>SUM(AV16:AV18)</f>
        <v>309</v>
      </c>
      <c r="AW19" s="97">
        <f>SUM(AW16:AW18)</f>
        <v>820</v>
      </c>
      <c r="AY19" s="96">
        <f>SUM(AY16:AY18)</f>
        <v>138</v>
      </c>
      <c r="AZ19" s="96">
        <f>SUM(AZ16:AZ18)</f>
        <v>232</v>
      </c>
      <c r="BA19" s="96">
        <f>SUM(BA16:BA18)</f>
        <v>139</v>
      </c>
      <c r="BB19" s="96">
        <f>SUM(BB16:BB18)</f>
        <v>-105</v>
      </c>
      <c r="BC19" s="97">
        <f>SUM(BC16:BC18)</f>
        <v>404</v>
      </c>
      <c r="BE19" s="99">
        <f>SUM(BE16:BE18)</f>
        <v>0</v>
      </c>
      <c r="BF19" s="96">
        <f>SUM(BF16:BF18)</f>
        <v>94</v>
      </c>
      <c r="BG19" s="96">
        <f>SUM(BG16:BG18)</f>
        <v>71</v>
      </c>
      <c r="BH19" s="96">
        <f>SUM(BH16:BH18)</f>
        <v>73</v>
      </c>
      <c r="BI19" s="97">
        <f>SUM(BI16:BI18)</f>
        <v>238</v>
      </c>
      <c r="BK19" s="99">
        <f>SUM(BK16:BK18)</f>
        <v>65</v>
      </c>
      <c r="BL19" s="96">
        <f>SUM(BL16:BL18)</f>
        <v>97</v>
      </c>
      <c r="BM19" s="96">
        <f>SUM(BM16:BM18)</f>
        <v>80</v>
      </c>
      <c r="BN19" s="96">
        <f>SUM(BN16:BN18)</f>
        <v>28</v>
      </c>
      <c r="BO19" s="97">
        <f>SUM(BO16:BO18)</f>
        <v>270</v>
      </c>
      <c r="BQ19" s="99">
        <f>SUM(BQ16:BQ18)</f>
        <v>51</v>
      </c>
      <c r="BR19" s="96">
        <f>SUM(BR16:BR18)</f>
        <v>30</v>
      </c>
      <c r="BS19" s="96">
        <f>SUM(BS16:BS18)</f>
        <v>43</v>
      </c>
      <c r="BT19" s="96">
        <f>SUM(BT16:BT18)</f>
        <v>3</v>
      </c>
      <c r="BU19" s="97">
        <f>SUM(BU16:BU18)</f>
        <v>127</v>
      </c>
      <c r="BW19" s="99">
        <f>SUM(BW16:BW18)</f>
        <v>31</v>
      </c>
      <c r="BX19" s="96">
        <f>SUM(BX16:BX18)</f>
        <v>1439</v>
      </c>
      <c r="BY19" s="96">
        <f>SUM(BY16:BY18)</f>
        <v>37</v>
      </c>
      <c r="BZ19" s="96">
        <f>SUM(BZ16:BZ18)</f>
        <v>99</v>
      </c>
      <c r="CA19" s="97">
        <f>SUM(CA16:CA18)</f>
        <v>1606</v>
      </c>
      <c r="CC19" s="99">
        <f>SUM(CC16:CC18)</f>
        <v>25</v>
      </c>
      <c r="CD19" s="99">
        <f>SUM(CD16:CD18)</f>
        <v>76</v>
      </c>
      <c r="CE19" s="99">
        <f>SUM(CE16:CE18)</f>
        <v>53</v>
      </c>
      <c r="CF19" s="99">
        <f>SUM(CF16:CF18)</f>
        <v>99</v>
      </c>
      <c r="CG19" s="97">
        <f>SUM(CG16:CG18)</f>
        <v>253</v>
      </c>
      <c r="CI19" s="99">
        <f>SUM(CI16:CI18)</f>
        <v>87</v>
      </c>
      <c r="CJ19" s="99">
        <f>SUM(CJ16:CJ18)</f>
        <v>47</v>
      </c>
      <c r="CK19" s="99">
        <f>SUM(CK16:CK18)</f>
        <v>60</v>
      </c>
      <c r="CL19" s="99">
        <f>SUM(CL16:CL18)</f>
        <v>86</v>
      </c>
      <c r="CM19" s="97">
        <f>SUM(CM16:CM18)</f>
        <v>280</v>
      </c>
      <c r="CO19" s="99">
        <f>SUM(CO16:CO18)</f>
        <v>91</v>
      </c>
      <c r="CP19" s="99">
        <f>SUM(CP16:CP18)</f>
        <v>-206</v>
      </c>
      <c r="CQ19" s="99"/>
      <c r="CR19" s="99"/>
      <c r="CS19" s="97">
        <f>SUM(CS16:CS18)</f>
        <v>-115</v>
      </c>
    </row>
    <row r="20" spans="1:97" s="87" customFormat="1" ht="18.75" customHeight="1">
      <c r="A20" s="87" t="s">
        <v>8</v>
      </c>
      <c r="B20" s="88"/>
      <c r="C20" s="89">
        <v>8</v>
      </c>
      <c r="D20" s="89">
        <v>3</v>
      </c>
      <c r="E20" s="89">
        <v>10</v>
      </c>
      <c r="F20" s="89">
        <v>11</v>
      </c>
      <c r="G20" s="90">
        <f>SUM(C20:F20)</f>
        <v>32</v>
      </c>
      <c r="H20" s="91"/>
      <c r="I20" s="89">
        <v>9</v>
      </c>
      <c r="J20" s="89">
        <v>10</v>
      </c>
      <c r="K20" s="89">
        <v>10</v>
      </c>
      <c r="L20" s="89">
        <v>131</v>
      </c>
      <c r="M20" s="90">
        <f>SUM(I20:L20)</f>
        <v>160</v>
      </c>
      <c r="O20" s="89">
        <v>6</v>
      </c>
      <c r="P20" s="89">
        <v>0</v>
      </c>
      <c r="Q20" s="89">
        <v>-6</v>
      </c>
      <c r="R20" s="89">
        <v>8</v>
      </c>
      <c r="S20" s="90">
        <f>SUM(O20:R20)</f>
        <v>8</v>
      </c>
      <c r="U20" s="89">
        <v>7</v>
      </c>
      <c r="V20" s="89">
        <v>1</v>
      </c>
      <c r="W20" s="89">
        <v>3</v>
      </c>
      <c r="X20" s="89">
        <v>8</v>
      </c>
      <c r="Y20" s="90">
        <f>SUM(U20:X20)</f>
        <v>19</v>
      </c>
      <c r="AA20" s="89">
        <v>-1</v>
      </c>
      <c r="AB20" s="89">
        <v>-3</v>
      </c>
      <c r="AC20" s="89">
        <v>-4</v>
      </c>
      <c r="AD20" s="89">
        <v>-4</v>
      </c>
      <c r="AE20" s="93">
        <f>SUM(AA20:AD20)</f>
        <v>-12</v>
      </c>
      <c r="AG20" s="89">
        <v>-1</v>
      </c>
      <c r="AH20" s="89">
        <v>-2</v>
      </c>
      <c r="AI20" s="89">
        <v>-2</v>
      </c>
      <c r="AJ20" s="89">
        <v>1</v>
      </c>
      <c r="AK20" s="93">
        <f>SUM(AG20:AJ20)</f>
        <v>-4</v>
      </c>
      <c r="AM20" s="89">
        <v>0</v>
      </c>
      <c r="AN20" s="89">
        <v>-8</v>
      </c>
      <c r="AO20" s="89">
        <v>-8</v>
      </c>
      <c r="AP20" s="89">
        <v>-5</v>
      </c>
      <c r="AQ20" s="93">
        <f>SUM(AM20:AP20)</f>
        <v>-21</v>
      </c>
      <c r="AS20" s="89">
        <v>-1</v>
      </c>
      <c r="AT20" s="89">
        <v>-4</v>
      </c>
      <c r="AU20" s="89">
        <v>-4</v>
      </c>
      <c r="AV20" s="89">
        <v>-6</v>
      </c>
      <c r="AW20" s="93">
        <f>SUM(AS20:AV20)</f>
        <v>-15</v>
      </c>
      <c r="AY20" s="89">
        <v>-2</v>
      </c>
      <c r="AZ20" s="89">
        <v>-1</v>
      </c>
      <c r="BA20" s="89">
        <v>-5</v>
      </c>
      <c r="BB20" s="89">
        <v>5</v>
      </c>
      <c r="BC20" s="93">
        <f>SUM(AY20:BB20)</f>
        <v>-3</v>
      </c>
      <c r="BE20" s="89">
        <v>2</v>
      </c>
      <c r="BF20" s="89">
        <v>0</v>
      </c>
      <c r="BG20" s="89">
        <v>-1</v>
      </c>
      <c r="BH20" s="89">
        <v>2</v>
      </c>
      <c r="BI20" s="93">
        <f>SUM(BE20:BH20)</f>
        <v>3</v>
      </c>
      <c r="BK20" s="89">
        <v>0</v>
      </c>
      <c r="BL20" s="89">
        <v>-2</v>
      </c>
      <c r="BM20" s="89">
        <v>-1</v>
      </c>
      <c r="BN20" s="89">
        <v>-1</v>
      </c>
      <c r="BO20" s="93">
        <f>SUM(BK20:BN20)</f>
        <v>-4</v>
      </c>
      <c r="BQ20" s="89">
        <v>0</v>
      </c>
      <c r="BR20" s="89">
        <v>0</v>
      </c>
      <c r="BS20" s="89">
        <v>-1</v>
      </c>
      <c r="BT20" s="89">
        <v>-1</v>
      </c>
      <c r="BU20" s="93">
        <f>SUM(BQ20:BT20)</f>
        <v>-2</v>
      </c>
      <c r="BW20" s="89">
        <v>-1</v>
      </c>
      <c r="BX20" s="89">
        <v>1</v>
      </c>
      <c r="BY20" s="89">
        <v>-1</v>
      </c>
      <c r="BZ20" s="89">
        <v>-1</v>
      </c>
      <c r="CA20" s="93">
        <f>SUM(BW20:BZ20)</f>
        <v>-2</v>
      </c>
      <c r="CC20" s="89">
        <v>0</v>
      </c>
      <c r="CD20" s="89">
        <v>-1</v>
      </c>
      <c r="CE20" s="89">
        <v>0</v>
      </c>
      <c r="CF20" s="89">
        <v>0</v>
      </c>
      <c r="CG20" s="93">
        <f>SUM(CC20:CF20)</f>
        <v>-1</v>
      </c>
      <c r="CI20" s="89">
        <v>0</v>
      </c>
      <c r="CJ20" s="89">
        <v>-1</v>
      </c>
      <c r="CK20" s="89">
        <v>0</v>
      </c>
      <c r="CL20" s="89">
        <v>1</v>
      </c>
      <c r="CM20" s="93">
        <f>SUM(CI20:CL20)</f>
        <v>0</v>
      </c>
      <c r="CO20" s="89">
        <v>0</v>
      </c>
      <c r="CP20" s="89">
        <v>-1</v>
      </c>
      <c r="CQ20" s="89"/>
      <c r="CR20" s="89"/>
      <c r="CS20" s="93">
        <f>SUM(CO20:CR20)</f>
        <v>-1</v>
      </c>
    </row>
    <row r="21" spans="1:97" s="94" customFormat="1" ht="18.75" customHeight="1">
      <c r="A21" s="94" t="s">
        <v>9</v>
      </c>
      <c r="B21" s="95"/>
      <c r="C21" s="96">
        <f>SUM(C19:C20)</f>
        <v>-1</v>
      </c>
      <c r="D21" s="96">
        <f>SUM(D19:D20)</f>
        <v>76</v>
      </c>
      <c r="E21" s="96">
        <f>SUM(E19:E20)</f>
        <v>-46</v>
      </c>
      <c r="F21" s="96">
        <f>SUM(F19:F20)</f>
        <v>-62</v>
      </c>
      <c r="G21" s="97">
        <f>SUM(G19:G20)</f>
        <v>-33</v>
      </c>
      <c r="H21" s="98"/>
      <c r="I21" s="96">
        <f>SUM(I19:I20)</f>
        <v>-32</v>
      </c>
      <c r="J21" s="96">
        <f>SUM(J19:J20)</f>
        <v>-23</v>
      </c>
      <c r="K21" s="96">
        <f>SUM(K19:K20)</f>
        <v>0</v>
      </c>
      <c r="L21" s="96">
        <f>SUM(L19:L20)</f>
        <v>-641</v>
      </c>
      <c r="M21" s="97">
        <f>SUM(M19:M20)</f>
        <v>-696</v>
      </c>
      <c r="O21" s="96">
        <f>SUM(O19:O20)</f>
        <v>-2</v>
      </c>
      <c r="P21" s="96">
        <f>SUM(P19:P20)</f>
        <v>23</v>
      </c>
      <c r="Q21" s="96">
        <f>SUM(Q19:Q20)</f>
        <v>33</v>
      </c>
      <c r="R21" s="96">
        <f>SUM(R19:R20)</f>
        <v>31</v>
      </c>
      <c r="S21" s="97">
        <f>SUM(S19:S20)</f>
        <v>85</v>
      </c>
      <c r="U21" s="96">
        <f>SUM(U19:U20)</f>
        <v>3</v>
      </c>
      <c r="V21" s="96">
        <f>SUM(V19:V20)</f>
        <v>45</v>
      </c>
      <c r="W21" s="96">
        <f>SUM(W19:W20)</f>
        <v>108</v>
      </c>
      <c r="X21" s="96">
        <f>SUM(X19:X20)</f>
        <v>106</v>
      </c>
      <c r="Y21" s="97">
        <f>SUM(Y19:Y20)</f>
        <v>262</v>
      </c>
      <c r="AA21" s="103">
        <f>SUM(AA19:AA20)</f>
        <v>16</v>
      </c>
      <c r="AB21" s="103">
        <f>SUM(AB19:AB20)</f>
        <v>-62</v>
      </c>
      <c r="AC21" s="103">
        <f>SUM(AC19:AC20)</f>
        <v>130</v>
      </c>
      <c r="AD21" s="103">
        <f>SUM(AD19:AD20)</f>
        <v>102</v>
      </c>
      <c r="AE21" s="104">
        <f>SUM(AE19:AE20)</f>
        <v>186</v>
      </c>
      <c r="AG21" s="103">
        <f>SUM(AG19:AG20)</f>
        <v>52</v>
      </c>
      <c r="AH21" s="103">
        <f>SUM(AH19:AH20)</f>
        <v>103</v>
      </c>
      <c r="AI21" s="103">
        <f>SUM(AI19:AI20)</f>
        <v>115</v>
      </c>
      <c r="AJ21" s="103">
        <f>SUM(AJ19:AJ20)</f>
        <v>87</v>
      </c>
      <c r="AK21" s="104">
        <f>SUM(AK19:AK20)</f>
        <v>357</v>
      </c>
      <c r="AM21" s="103">
        <f>SUM(AM19:AM20)</f>
        <v>85</v>
      </c>
      <c r="AN21" s="103">
        <f>SUM(AN19:AN20)</f>
        <v>220</v>
      </c>
      <c r="AO21" s="103">
        <f>SUM(AO19:AO20)</f>
        <v>138</v>
      </c>
      <c r="AP21" s="103">
        <f>SUM(AP19:AP20)</f>
        <v>139</v>
      </c>
      <c r="AQ21" s="104">
        <f>SUM(AQ19:AQ20)</f>
        <v>582</v>
      </c>
      <c r="AS21" s="103">
        <f>SUM(AS19:AS20)</f>
        <v>119</v>
      </c>
      <c r="AT21" s="103">
        <f>SUM(AT19:AT20)</f>
        <v>220</v>
      </c>
      <c r="AU21" s="103">
        <f>SUM(AU19:AU20)</f>
        <v>163</v>
      </c>
      <c r="AV21" s="103">
        <f>SUM(AV19:AV20)</f>
        <v>303</v>
      </c>
      <c r="AW21" s="104">
        <f>SUM(AW19:AW20)</f>
        <v>805</v>
      </c>
      <c r="AY21" s="103">
        <f>SUM(AY19:AY20)</f>
        <v>136</v>
      </c>
      <c r="AZ21" s="103">
        <f>SUM(AZ19:AZ20)</f>
        <v>231</v>
      </c>
      <c r="BA21" s="103">
        <f>SUM(BA19:BA20)</f>
        <v>134</v>
      </c>
      <c r="BB21" s="103">
        <f>SUM(BB19:BB20)</f>
        <v>-100</v>
      </c>
      <c r="BC21" s="104">
        <f>SUM(BC19:BC20)</f>
        <v>401</v>
      </c>
      <c r="BE21" s="103">
        <f>SUM(BE19:BE20)</f>
        <v>2</v>
      </c>
      <c r="BF21" s="103">
        <f>SUM(BF19:BF20)</f>
        <v>94</v>
      </c>
      <c r="BG21" s="103">
        <f>SUM(BG19:BG20)</f>
        <v>70</v>
      </c>
      <c r="BH21" s="103">
        <f>SUM(BH19:BH20)</f>
        <v>75</v>
      </c>
      <c r="BI21" s="104">
        <f>SUM(BI19:BI20)</f>
        <v>241</v>
      </c>
      <c r="BK21" s="103">
        <f>SUM(BK19:BK20)</f>
        <v>65</v>
      </c>
      <c r="BL21" s="103">
        <f>SUM(BL19:BL20)</f>
        <v>95</v>
      </c>
      <c r="BM21" s="103">
        <f>SUM(BM19:BM20)</f>
        <v>79</v>
      </c>
      <c r="BN21" s="103">
        <f>SUM(BN19:BN20)</f>
        <v>27</v>
      </c>
      <c r="BO21" s="104">
        <f>SUM(BO19:BO20)</f>
        <v>266</v>
      </c>
      <c r="BQ21" s="103">
        <f>SUM(BQ19:BQ20)</f>
        <v>51</v>
      </c>
      <c r="BR21" s="103">
        <f>SUM(BR19:BR20)</f>
        <v>30</v>
      </c>
      <c r="BS21" s="103">
        <f>SUM(BS19:BS20)</f>
        <v>42</v>
      </c>
      <c r="BT21" s="103">
        <v>-1</v>
      </c>
      <c r="BU21" s="104">
        <f>SUM(BU19:BU20)</f>
        <v>125</v>
      </c>
      <c r="BW21" s="103">
        <f>SUM(BW19:BW20)</f>
        <v>30</v>
      </c>
      <c r="BX21" s="103">
        <f>SUM(BX19:BX20)</f>
        <v>1440</v>
      </c>
      <c r="BY21" s="103">
        <f>SUM(BY19:BY20)</f>
        <v>36</v>
      </c>
      <c r="BZ21" s="103">
        <f>SUM(BZ19:BZ20)</f>
        <v>98</v>
      </c>
      <c r="CA21" s="104">
        <f>SUM(CA19:CA20)</f>
        <v>1604</v>
      </c>
      <c r="CC21" s="103">
        <f>SUM(CC19:CC20)</f>
        <v>25</v>
      </c>
      <c r="CD21" s="103">
        <f>SUM(CD19:CD20)</f>
        <v>75</v>
      </c>
      <c r="CE21" s="103">
        <f>SUM(CE19:CE20)</f>
        <v>53</v>
      </c>
      <c r="CF21" s="103">
        <f>SUM(CF19:CF20)</f>
        <v>99</v>
      </c>
      <c r="CG21" s="104">
        <f>SUM(CG19:CG20)</f>
        <v>252</v>
      </c>
      <c r="CI21" s="103">
        <f>SUM(CI19:CI20)</f>
        <v>87</v>
      </c>
      <c r="CJ21" s="103">
        <f>SUM(CJ19:CJ20)</f>
        <v>46</v>
      </c>
      <c r="CK21" s="103">
        <f>SUM(CK19:CK20)</f>
        <v>60</v>
      </c>
      <c r="CL21" s="103">
        <f>SUM(CL19:CL20)</f>
        <v>87</v>
      </c>
      <c r="CM21" s="104">
        <f>SUM(CM19:CM20)</f>
        <v>280</v>
      </c>
      <c r="CO21" s="103">
        <f>SUM(CO19:CO20)</f>
        <v>91</v>
      </c>
      <c r="CP21" s="103">
        <f>SUM(CP19:CP20)</f>
        <v>-207</v>
      </c>
      <c r="CQ21" s="103"/>
      <c r="CR21" s="103"/>
      <c r="CS21" s="104">
        <f>SUM(CS19:CS20)</f>
        <v>-116</v>
      </c>
    </row>
    <row r="22" spans="1:97">
      <c r="G22" s="69"/>
      <c r="M22" s="69"/>
      <c r="S22" s="69"/>
      <c r="Y22" s="69"/>
      <c r="AE22" s="69"/>
      <c r="AK22" s="69"/>
      <c r="AQ22" s="69"/>
      <c r="AW22" s="69"/>
      <c r="BC22" s="69"/>
      <c r="BI22" s="69"/>
      <c r="BM22" s="9"/>
      <c r="BO22" s="69"/>
      <c r="BS22" s="9"/>
      <c r="BU22" s="69"/>
      <c r="BY22" s="9"/>
      <c r="CA22" s="69"/>
      <c r="CE22" s="9"/>
      <c r="CG22" s="69"/>
      <c r="CK22" s="9"/>
      <c r="CM22" s="69"/>
      <c r="CQ22" s="9"/>
      <c r="CS22" s="69"/>
    </row>
    <row r="23" spans="1:97">
      <c r="G23" s="69"/>
      <c r="M23" s="69"/>
      <c r="S23" s="69"/>
      <c r="Y23" s="69"/>
      <c r="AE23" s="69"/>
      <c r="AK23" s="69"/>
      <c r="AQ23" s="69"/>
      <c r="AW23" s="69"/>
      <c r="BC23" s="69"/>
      <c r="BI23" s="69"/>
      <c r="BO23" s="69"/>
      <c r="BU23" s="69"/>
      <c r="CA23" s="69"/>
      <c r="CG23" s="69"/>
      <c r="CM23" s="69"/>
      <c r="CS23" s="69"/>
    </row>
    <row r="24" spans="1:97">
      <c r="A24" s="6" t="s">
        <v>92</v>
      </c>
      <c r="C24" s="9" t="s">
        <v>63</v>
      </c>
      <c r="D24" s="9" t="s">
        <v>63</v>
      </c>
      <c r="E24" s="9" t="s">
        <v>63</v>
      </c>
      <c r="F24" s="9" t="s">
        <v>63</v>
      </c>
      <c r="G24" s="74" t="s">
        <v>63</v>
      </c>
      <c r="H24" s="4" t="s">
        <v>63</v>
      </c>
      <c r="I24" s="9" t="s">
        <v>63</v>
      </c>
      <c r="J24" s="9" t="s">
        <v>63</v>
      </c>
      <c r="K24" s="9" t="s">
        <v>63</v>
      </c>
      <c r="L24" s="9" t="s">
        <v>63</v>
      </c>
      <c r="M24" s="74" t="s">
        <v>63</v>
      </c>
      <c r="O24" s="9">
        <f>+'Segment Data'!O16</f>
        <v>1339</v>
      </c>
      <c r="P24" s="9">
        <f>+'Segment Data'!P16</f>
        <v>1476</v>
      </c>
      <c r="Q24" s="9">
        <f>+'Segment Data'!Q16</f>
        <v>1535</v>
      </c>
      <c r="R24" s="9">
        <f>+'Segment Data'!R16</f>
        <v>1490</v>
      </c>
      <c r="S24" s="74">
        <f>+'Segment Data'!S16</f>
        <v>5840</v>
      </c>
      <c r="T24" s="2" t="s">
        <v>63</v>
      </c>
      <c r="U24" s="9" t="s">
        <v>63</v>
      </c>
      <c r="V24" s="9" t="s">
        <v>64</v>
      </c>
      <c r="W24" s="9" t="s">
        <v>63</v>
      </c>
      <c r="X24" s="9" t="s">
        <v>63</v>
      </c>
      <c r="Y24" s="74" t="s">
        <v>63</v>
      </c>
      <c r="AA24" s="9">
        <f>+'Segment Data'!AA16</f>
        <v>1353</v>
      </c>
      <c r="AB24" s="9">
        <f>+'Segment Data'!AB16</f>
        <v>1861</v>
      </c>
      <c r="AC24" s="9">
        <f>+'Segment Data'!AC16</f>
        <v>1993</v>
      </c>
      <c r="AD24" s="9">
        <f>+'Segment Data'!AD16</f>
        <v>1989</v>
      </c>
      <c r="AE24" s="74">
        <f>+'Segment Data'!AE16</f>
        <v>7196</v>
      </c>
      <c r="AG24" s="9">
        <f>+'Segment Data'!AG16</f>
        <v>1789</v>
      </c>
      <c r="AH24" s="9">
        <f>+'Segment Data'!AH16</f>
        <v>2164</v>
      </c>
      <c r="AI24" s="9">
        <f>+'Segment Data'!AI16</f>
        <v>2077</v>
      </c>
      <c r="AJ24" s="9">
        <f>+'Segment Data'!AJ16</f>
        <v>2150</v>
      </c>
      <c r="AK24" s="74">
        <f>+'Segment Data'!AK16</f>
        <v>8180</v>
      </c>
      <c r="AM24" s="9">
        <f>+'Segment Data'!AM16</f>
        <v>2149</v>
      </c>
      <c r="AN24" s="9">
        <f>+'Segment Data'!AN16</f>
        <v>2358</v>
      </c>
      <c r="AO24" s="9">
        <f>+'Segment Data'!AO16</f>
        <v>2178</v>
      </c>
      <c r="AP24" s="9">
        <f>+'Segment Data'!AP16</f>
        <v>2315</v>
      </c>
      <c r="AQ24" s="74">
        <f>+'Segment Data'!AQ16</f>
        <v>9000</v>
      </c>
      <c r="AS24" s="9">
        <f>+'Segment Data'!AS16</f>
        <v>2539</v>
      </c>
      <c r="AT24" s="9">
        <f>+'Segment Data'!AT16</f>
        <v>2869</v>
      </c>
      <c r="AU24" s="11">
        <f>+'Segment Data'!AU16</f>
        <v>2619</v>
      </c>
      <c r="AV24" s="11">
        <f>+'Segment Data'!AV16</f>
        <v>2771</v>
      </c>
      <c r="AW24" s="74">
        <f>+'Segment Data'!AW16</f>
        <v>10798</v>
      </c>
      <c r="AY24" s="9">
        <f>+'Segment Data'!AY16</f>
        <v>2699</v>
      </c>
      <c r="AZ24" s="9">
        <f>+'Segment Data'!AZ16</f>
        <v>3081</v>
      </c>
      <c r="BA24" s="9">
        <f>+'Segment Data'!BA16</f>
        <v>2814</v>
      </c>
      <c r="BB24" s="9">
        <f>+'Segment Data'!BB16</f>
        <v>2679</v>
      </c>
      <c r="BC24" s="74">
        <f>+'Segment Data'!BC16</f>
        <v>11273</v>
      </c>
      <c r="BE24" s="9">
        <f>+'Segment Data'!BE16</f>
        <v>2343</v>
      </c>
      <c r="BF24" s="9">
        <f>+'Segment Data'!BF16</f>
        <v>2691</v>
      </c>
      <c r="BG24" s="9">
        <f>+'Segment Data'!BG16</f>
        <v>2463</v>
      </c>
      <c r="BH24" s="9">
        <f>+'Segment Data'!BH16</f>
        <v>2453</v>
      </c>
      <c r="BI24" s="74">
        <f>+'Segment Data'!BI16</f>
        <v>9950</v>
      </c>
      <c r="BK24" s="9">
        <f>+'Segment Data'!BK16</f>
        <v>2494</v>
      </c>
      <c r="BL24" s="9">
        <f>+'Segment Data'!BL16</f>
        <v>2953</v>
      </c>
      <c r="BM24" s="9">
        <f>+'Segment Data'!BM16</f>
        <v>2943</v>
      </c>
      <c r="BN24" s="9">
        <f>+'Segment Data'!BN16</f>
        <v>3088</v>
      </c>
      <c r="BO24" s="74">
        <f>+'Segment Data'!BO16</f>
        <v>11478</v>
      </c>
      <c r="BQ24" s="9">
        <f>+'Segment Data'!BQ16</f>
        <v>2863</v>
      </c>
      <c r="BR24" s="9">
        <f>+'Segment Data'!BR16</f>
        <v>3077</v>
      </c>
      <c r="BS24" s="9">
        <f>+'Segment Data'!BS16</f>
        <v>3027</v>
      </c>
      <c r="BT24" s="9">
        <f>+'Segment Data'!BT16</f>
        <v>3184</v>
      </c>
      <c r="BU24" s="74">
        <f>+'Segment Data'!BU16</f>
        <v>12151</v>
      </c>
      <c r="BW24" s="9">
        <f>+'Segment Data'!BW16</f>
        <v>2806</v>
      </c>
      <c r="BX24" s="9">
        <f>+'Segment Data'!BX16</f>
        <v>3079</v>
      </c>
      <c r="BY24" s="9">
        <f>+'Segment Data'!BY16</f>
        <v>3036</v>
      </c>
      <c r="BZ24" s="9">
        <f>+'Segment Data'!BZ16</f>
        <v>3227</v>
      </c>
      <c r="CA24" s="74">
        <f>+'Segment Data'!CA16</f>
        <v>12148</v>
      </c>
      <c r="CC24" s="9">
        <f>+'Segment Data'!CC16</f>
        <v>2859</v>
      </c>
      <c r="CD24" s="9">
        <f>+'Segment Data'!CD16</f>
        <v>3264</v>
      </c>
      <c r="CE24" s="9">
        <f>+'Segment Data'!CE16</f>
        <v>3282</v>
      </c>
      <c r="CF24" s="9">
        <f>+'Segment Data'!CF16</f>
        <v>3438</v>
      </c>
      <c r="CG24" s="74">
        <f>+'Segment Data'!CG16</f>
        <v>12843</v>
      </c>
      <c r="CI24" s="9">
        <f>+'Segment Data'!CI16</f>
        <v>3179</v>
      </c>
      <c r="CJ24" s="9">
        <v>3337</v>
      </c>
      <c r="CK24" s="9">
        <v>3281</v>
      </c>
      <c r="CL24" s="9">
        <f>+'Segment Data'!CL16</f>
        <v>3383</v>
      </c>
      <c r="CM24" s="74">
        <f>+'Segment Data'!CM16</f>
        <v>13180</v>
      </c>
      <c r="CO24" s="9">
        <f>+'Segment Data'!CO16</f>
        <v>3475</v>
      </c>
      <c r="CP24" s="9">
        <f>+'Segment Data'!CP16</f>
        <v>3684</v>
      </c>
      <c r="CQ24" s="9"/>
      <c r="CR24" s="9"/>
      <c r="CS24" s="74">
        <f>+'Segment Data'!CS16</f>
        <v>7159</v>
      </c>
    </row>
    <row r="25" spans="1:97">
      <c r="G25" s="69"/>
      <c r="M25" s="69"/>
      <c r="S25" s="69"/>
      <c r="Y25" s="69"/>
      <c r="AE25" s="69"/>
      <c r="AK25" s="69"/>
      <c r="AQ25" s="69"/>
      <c r="AW25" s="69"/>
      <c r="BC25" s="69"/>
      <c r="BI25" s="69"/>
      <c r="BO25" s="69"/>
      <c r="BU25" s="69"/>
      <c r="CA25" s="69"/>
      <c r="CG25" s="69"/>
      <c r="CM25" s="69"/>
      <c r="CS25" s="69"/>
    </row>
    <row r="26" spans="1:97" s="81" customFormat="1">
      <c r="A26" s="77" t="s">
        <v>15</v>
      </c>
      <c r="B26" s="77"/>
      <c r="C26" s="100"/>
      <c r="D26" s="100"/>
      <c r="E26" s="100"/>
      <c r="F26" s="100"/>
      <c r="G26" s="101"/>
      <c r="H26" s="102"/>
      <c r="I26" s="100"/>
      <c r="J26" s="100"/>
      <c r="K26" s="100"/>
      <c r="L26" s="100"/>
      <c r="M26" s="101"/>
      <c r="O26" s="100"/>
      <c r="P26" s="100"/>
      <c r="Q26" s="100"/>
      <c r="R26" s="100"/>
      <c r="S26" s="101"/>
      <c r="U26" s="100"/>
      <c r="V26" s="100"/>
      <c r="W26" s="100"/>
      <c r="X26" s="100"/>
      <c r="Y26" s="101"/>
      <c r="AA26" s="100"/>
      <c r="AB26" s="100"/>
      <c r="AC26" s="100"/>
      <c r="AD26" s="100"/>
      <c r="AE26" s="101"/>
      <c r="AG26" s="100"/>
      <c r="AH26" s="100"/>
      <c r="AI26" s="100"/>
      <c r="AJ26" s="100"/>
      <c r="AK26" s="101"/>
      <c r="AM26" s="100"/>
      <c r="AN26" s="100"/>
      <c r="AO26" s="100"/>
      <c r="AP26" s="100"/>
      <c r="AQ26" s="101"/>
      <c r="AS26" s="100"/>
      <c r="AT26" s="100"/>
      <c r="AU26" s="100"/>
      <c r="AV26" s="100"/>
      <c r="AW26" s="101"/>
      <c r="AY26" s="100" t="s">
        <v>10</v>
      </c>
      <c r="AZ26" s="100" t="s">
        <v>11</v>
      </c>
      <c r="BA26" s="100" t="s">
        <v>12</v>
      </c>
      <c r="BB26" s="100" t="s">
        <v>13</v>
      </c>
      <c r="BC26" s="101"/>
      <c r="BE26" s="100" t="s">
        <v>10</v>
      </c>
      <c r="BF26" s="100" t="s">
        <v>11</v>
      </c>
      <c r="BG26" s="100" t="s">
        <v>12</v>
      </c>
      <c r="BH26" s="100" t="s">
        <v>13</v>
      </c>
      <c r="BI26" s="101"/>
      <c r="BK26" s="100" t="s">
        <v>10</v>
      </c>
      <c r="BL26" s="100" t="s">
        <v>11</v>
      </c>
      <c r="BM26" s="100" t="s">
        <v>12</v>
      </c>
      <c r="BN26" s="100" t="s">
        <v>13</v>
      </c>
      <c r="BO26" s="101"/>
      <c r="BQ26" s="100" t="s">
        <v>10</v>
      </c>
      <c r="BR26" s="100" t="s">
        <v>11</v>
      </c>
      <c r="BS26" s="100" t="s">
        <v>12</v>
      </c>
      <c r="BT26" s="100" t="s">
        <v>13</v>
      </c>
      <c r="BU26" s="101"/>
      <c r="BW26" s="100" t="s">
        <v>10</v>
      </c>
      <c r="BX26" s="100" t="s">
        <v>11</v>
      </c>
      <c r="BY26" s="100" t="s">
        <v>12</v>
      </c>
      <c r="BZ26" s="100" t="s">
        <v>13</v>
      </c>
      <c r="CA26" s="101"/>
      <c r="CC26" s="100" t="s">
        <v>10</v>
      </c>
      <c r="CD26" s="100" t="s">
        <v>11</v>
      </c>
      <c r="CE26" s="100" t="s">
        <v>12</v>
      </c>
      <c r="CF26" s="100" t="s">
        <v>13</v>
      </c>
      <c r="CG26" s="101"/>
      <c r="CI26" s="100" t="s">
        <v>10</v>
      </c>
      <c r="CJ26" s="100" t="s">
        <v>11</v>
      </c>
      <c r="CK26" s="100" t="s">
        <v>12</v>
      </c>
      <c r="CL26" s="100" t="s">
        <v>13</v>
      </c>
      <c r="CM26" s="101"/>
      <c r="CO26" s="100" t="s">
        <v>10</v>
      </c>
      <c r="CP26" s="100" t="s">
        <v>11</v>
      </c>
      <c r="CQ26" s="100" t="s">
        <v>12</v>
      </c>
      <c r="CR26" s="100" t="s">
        <v>13</v>
      </c>
      <c r="CS26" s="101"/>
    </row>
    <row r="27" spans="1:97">
      <c r="A27" s="2" t="s">
        <v>200</v>
      </c>
      <c r="C27" s="9">
        <v>540</v>
      </c>
      <c r="D27" s="9">
        <v>500</v>
      </c>
      <c r="E27" s="9">
        <v>500</v>
      </c>
      <c r="F27" s="9">
        <v>500</v>
      </c>
      <c r="G27" s="71"/>
      <c r="H27" s="8"/>
      <c r="I27" s="9">
        <v>500</v>
      </c>
      <c r="J27" s="9">
        <v>500</v>
      </c>
      <c r="K27" s="9">
        <v>500</v>
      </c>
      <c r="L27" s="9">
        <v>500</v>
      </c>
      <c r="M27" s="69"/>
      <c r="O27" s="9">
        <v>500</v>
      </c>
      <c r="P27" s="9">
        <v>500</v>
      </c>
      <c r="Q27" s="9">
        <v>500</v>
      </c>
      <c r="R27" s="9">
        <v>500</v>
      </c>
      <c r="S27" s="69"/>
      <c r="U27" s="13">
        <v>500</v>
      </c>
      <c r="V27" s="13">
        <v>500</v>
      </c>
      <c r="W27" s="13">
        <v>490</v>
      </c>
      <c r="X27" s="13">
        <v>490</v>
      </c>
      <c r="Y27" s="69"/>
      <c r="AA27" s="9">
        <v>500</v>
      </c>
      <c r="AB27" s="9">
        <v>500</v>
      </c>
      <c r="AC27" s="9">
        <v>490</v>
      </c>
      <c r="AD27" s="9">
        <v>490</v>
      </c>
      <c r="AE27" s="69"/>
      <c r="AG27" s="9">
        <v>490</v>
      </c>
      <c r="AH27" s="9">
        <v>490</v>
      </c>
      <c r="AI27" s="9">
        <v>490</v>
      </c>
      <c r="AJ27" s="9">
        <v>490</v>
      </c>
      <c r="AK27" s="69"/>
      <c r="AM27" s="9">
        <v>490</v>
      </c>
      <c r="AN27" s="9">
        <v>470</v>
      </c>
      <c r="AO27" s="9">
        <v>470</v>
      </c>
      <c r="AP27" s="9">
        <v>470</v>
      </c>
      <c r="AQ27" s="69"/>
      <c r="AS27" s="9">
        <v>471</v>
      </c>
      <c r="AT27" s="9">
        <v>473</v>
      </c>
      <c r="AU27" s="9">
        <v>473</v>
      </c>
      <c r="AV27" s="9">
        <v>473</v>
      </c>
      <c r="AW27" s="69"/>
      <c r="AY27" s="9">
        <v>473</v>
      </c>
      <c r="AZ27" s="9">
        <v>474</v>
      </c>
      <c r="BA27" s="9">
        <v>474</v>
      </c>
      <c r="BB27" s="9">
        <v>474</v>
      </c>
      <c r="BC27" s="69"/>
      <c r="BE27" s="9">
        <v>474</v>
      </c>
      <c r="BF27" s="9">
        <v>474</v>
      </c>
      <c r="BG27" s="9">
        <v>474</v>
      </c>
      <c r="BH27" s="9">
        <v>474</v>
      </c>
      <c r="BI27" s="69"/>
      <c r="BK27" s="9">
        <v>474</v>
      </c>
      <c r="BL27" s="9">
        <v>475</v>
      </c>
      <c r="BM27" s="9">
        <v>475</v>
      </c>
      <c r="BN27" s="9">
        <v>475</v>
      </c>
      <c r="BO27" s="69"/>
      <c r="BQ27" s="9">
        <v>475</v>
      </c>
      <c r="BR27" s="9">
        <v>475</v>
      </c>
      <c r="BS27" s="9">
        <v>475</v>
      </c>
      <c r="BT27" s="9">
        <v>475</v>
      </c>
      <c r="BU27" s="69"/>
      <c r="BW27" s="9">
        <v>478</v>
      </c>
      <c r="BX27" s="9">
        <v>478</v>
      </c>
      <c r="BY27" s="9">
        <v>478</v>
      </c>
      <c r="BZ27" s="9">
        <v>478</v>
      </c>
      <c r="CA27" s="69"/>
      <c r="CC27" s="9">
        <v>479</v>
      </c>
      <c r="CD27" s="9">
        <v>479</v>
      </c>
      <c r="CE27" s="9">
        <v>479</v>
      </c>
      <c r="CF27" s="9">
        <v>479</v>
      </c>
      <c r="CG27" s="69"/>
      <c r="CI27" s="9">
        <v>479</v>
      </c>
      <c r="CJ27" s="9">
        <v>479</v>
      </c>
      <c r="CK27" s="9">
        <v>479</v>
      </c>
      <c r="CL27" s="9">
        <v>479</v>
      </c>
      <c r="CM27" s="69"/>
      <c r="CO27" s="9">
        <v>484</v>
      </c>
      <c r="CP27" s="9">
        <v>484</v>
      </c>
      <c r="CQ27" s="9"/>
      <c r="CR27" s="9"/>
      <c r="CS27" s="69"/>
    </row>
    <row r="28" spans="1:97">
      <c r="A28" s="2" t="s">
        <v>201</v>
      </c>
      <c r="C28" s="9" t="s">
        <v>63</v>
      </c>
      <c r="D28" s="9">
        <f>'Balance Sheet'!D21</f>
        <v>3894</v>
      </c>
      <c r="E28" s="9">
        <f>'Balance Sheet'!E21</f>
        <v>3790</v>
      </c>
      <c r="F28" s="9">
        <f>'Balance Sheet'!F21</f>
        <v>3762</v>
      </c>
      <c r="G28" s="71"/>
      <c r="H28" s="8"/>
      <c r="I28" s="9">
        <f>'Balance Sheet'!H21</f>
        <v>3741</v>
      </c>
      <c r="J28" s="9">
        <f>'Balance Sheet'!I21</f>
        <v>3554</v>
      </c>
      <c r="K28" s="9">
        <f>'Balance Sheet'!J21</f>
        <v>3547</v>
      </c>
      <c r="L28" s="9">
        <f>'Balance Sheet'!K21</f>
        <v>2898</v>
      </c>
      <c r="M28" s="69"/>
      <c r="O28" s="9">
        <v>2880</v>
      </c>
      <c r="P28" s="9">
        <v>2787</v>
      </c>
      <c r="Q28" s="9">
        <v>2815</v>
      </c>
      <c r="R28" s="9">
        <v>2831</v>
      </c>
      <c r="S28" s="69"/>
      <c r="U28" s="9">
        <v>2837</v>
      </c>
      <c r="V28" s="9">
        <v>2689</v>
      </c>
      <c r="W28" s="9">
        <v>2804</v>
      </c>
      <c r="X28" s="9">
        <v>2859</v>
      </c>
      <c r="Y28" s="69"/>
      <c r="AA28" s="9">
        <v>2721</v>
      </c>
      <c r="AB28" s="9">
        <v>2467</v>
      </c>
      <c r="AC28" s="9">
        <v>2603</v>
      </c>
      <c r="AD28" s="9">
        <v>2678</v>
      </c>
      <c r="AE28" s="69"/>
      <c r="AG28" s="9">
        <v>2742</v>
      </c>
      <c r="AH28" s="9">
        <v>2703</v>
      </c>
      <c r="AI28" s="9">
        <v>2573</v>
      </c>
      <c r="AJ28" s="9">
        <v>2672</v>
      </c>
      <c r="AK28" s="69"/>
      <c r="AM28" s="9">
        <v>2711</v>
      </c>
      <c r="AN28" s="9">
        <v>2526</v>
      </c>
      <c r="AO28" s="9">
        <v>2663</v>
      </c>
      <c r="AP28" s="9">
        <v>2787</v>
      </c>
      <c r="AQ28" s="69"/>
      <c r="AS28" s="9">
        <v>2887</v>
      </c>
      <c r="AT28" s="9">
        <v>2847</v>
      </c>
      <c r="AU28" s="9">
        <v>2960</v>
      </c>
      <c r="AV28" s="9">
        <v>3246</v>
      </c>
      <c r="AW28" s="69"/>
      <c r="AY28" s="9">
        <v>3337</v>
      </c>
      <c r="AZ28" s="9">
        <v>3355</v>
      </c>
      <c r="BA28" s="9">
        <v>3598</v>
      </c>
      <c r="BB28" s="9">
        <v>3427</v>
      </c>
      <c r="BC28" s="69"/>
      <c r="BE28" s="9">
        <v>3451.1</v>
      </c>
      <c r="BF28" s="9">
        <v>3508</v>
      </c>
      <c r="BG28" s="9">
        <v>3538</v>
      </c>
      <c r="BH28" s="9">
        <v>3719</v>
      </c>
      <c r="BI28" s="69"/>
      <c r="BK28" s="9">
        <v>3810</v>
      </c>
      <c r="BL28" s="9">
        <v>4030</v>
      </c>
      <c r="BM28" s="9">
        <v>3992</v>
      </c>
      <c r="BN28" s="9">
        <v>4105</v>
      </c>
      <c r="BO28" s="69"/>
      <c r="BQ28" s="9">
        <v>3989</v>
      </c>
      <c r="BR28" s="9">
        <v>3983</v>
      </c>
      <c r="BS28" s="9">
        <v>4000</v>
      </c>
      <c r="BT28" s="9">
        <v>4060</v>
      </c>
      <c r="BU28" s="69"/>
      <c r="BW28" s="9">
        <v>4116</v>
      </c>
      <c r="BX28" s="9">
        <v>5552</v>
      </c>
      <c r="BY28" s="9">
        <v>5650</v>
      </c>
      <c r="BZ28" s="9">
        <v>5730</v>
      </c>
      <c r="CA28" s="69"/>
      <c r="CC28" s="9">
        <v>5571</v>
      </c>
      <c r="CD28" s="9">
        <v>5603</v>
      </c>
      <c r="CE28" s="9">
        <f>+'Balance Sheet'!BR21</f>
        <v>5611</v>
      </c>
      <c r="CF28" s="9">
        <v>5667</v>
      </c>
      <c r="CG28" s="69"/>
      <c r="CI28" s="9">
        <f>+'Balance Sheet'!BU21</f>
        <v>5600</v>
      </c>
      <c r="CJ28" s="9">
        <f>+'Balance Sheet'!BV21</f>
        <v>5685</v>
      </c>
      <c r="CK28" s="9">
        <f>+'Balance Sheet'!BW21</f>
        <v>5913</v>
      </c>
      <c r="CL28" s="9">
        <f>+'Balance Sheet'!BX21</f>
        <v>5969</v>
      </c>
      <c r="CM28" s="69"/>
      <c r="CO28" s="9">
        <v>6310</v>
      </c>
      <c r="CP28" s="9">
        <v>5979</v>
      </c>
      <c r="CQ28" s="9"/>
      <c r="CR28" s="9"/>
      <c r="CS28" s="69"/>
    </row>
    <row r="29" spans="1:97">
      <c r="A29" s="2" t="s">
        <v>28</v>
      </c>
      <c r="C29" s="9">
        <f>'Balance Sheet'!C18</f>
        <v>9424</v>
      </c>
      <c r="D29" s="9">
        <f>'Balance Sheet'!D18</f>
        <v>6907</v>
      </c>
      <c r="E29" s="9">
        <f>'Balance Sheet'!E18</f>
        <v>6714</v>
      </c>
      <c r="F29" s="9">
        <f>'Balance Sheet'!F18</f>
        <v>6446</v>
      </c>
      <c r="G29" s="71"/>
      <c r="H29" s="8"/>
      <c r="I29" s="9">
        <f>'Balance Sheet'!H18</f>
        <v>6246</v>
      </c>
      <c r="J29" s="9">
        <f>'Balance Sheet'!I18</f>
        <v>5992</v>
      </c>
      <c r="K29" s="9">
        <f>'Balance Sheet'!J18</f>
        <v>5995</v>
      </c>
      <c r="L29" s="9">
        <f>'Balance Sheet'!K18</f>
        <v>5034</v>
      </c>
      <c r="M29" s="69"/>
      <c r="O29" s="9">
        <v>4941</v>
      </c>
      <c r="P29" s="9">
        <v>4765</v>
      </c>
      <c r="Q29" s="9">
        <v>4686</v>
      </c>
      <c r="R29" s="9">
        <v>4663</v>
      </c>
      <c r="S29" s="69"/>
      <c r="U29" s="9">
        <v>4746</v>
      </c>
      <c r="V29" s="9">
        <v>6273</v>
      </c>
      <c r="W29" s="9">
        <v>6093</v>
      </c>
      <c r="X29" s="9">
        <v>6112</v>
      </c>
      <c r="Y29" s="69"/>
      <c r="AA29" s="9">
        <v>4623</v>
      </c>
      <c r="AB29" s="9">
        <v>6024</v>
      </c>
      <c r="AC29" s="9">
        <v>5856</v>
      </c>
      <c r="AD29" s="9">
        <v>5874</v>
      </c>
      <c r="AE29" s="69"/>
      <c r="AG29" s="9">
        <v>5927</v>
      </c>
      <c r="AH29" s="9">
        <v>6036</v>
      </c>
      <c r="AI29" s="9">
        <v>6107</v>
      </c>
      <c r="AJ29" s="9">
        <v>6177</v>
      </c>
      <c r="AK29" s="69"/>
      <c r="AM29" s="9">
        <v>6457</v>
      </c>
      <c r="AN29" s="9">
        <v>6916</v>
      </c>
      <c r="AO29" s="9">
        <v>6890</v>
      </c>
      <c r="AP29" s="9">
        <v>7350</v>
      </c>
      <c r="AQ29" s="69"/>
      <c r="AS29" s="9">
        <v>7990</v>
      </c>
      <c r="AT29" s="9">
        <v>8588</v>
      </c>
      <c r="AU29" s="9">
        <v>9161</v>
      </c>
      <c r="AV29" s="9">
        <v>9099</v>
      </c>
      <c r="AW29" s="69"/>
      <c r="AY29" s="9">
        <v>9655</v>
      </c>
      <c r="AZ29" s="9">
        <v>10231</v>
      </c>
      <c r="BA29" s="9">
        <v>10309</v>
      </c>
      <c r="BB29" s="9">
        <v>9935</v>
      </c>
      <c r="BC29" s="69"/>
      <c r="BE29" s="9">
        <v>9734.9</v>
      </c>
      <c r="BF29" s="9">
        <v>9889</v>
      </c>
      <c r="BG29" s="9">
        <v>10093</v>
      </c>
      <c r="BH29" s="9">
        <v>10124</v>
      </c>
      <c r="BI29" s="69"/>
      <c r="BK29" s="9">
        <v>11161</v>
      </c>
      <c r="BL29" s="9">
        <v>12134</v>
      </c>
      <c r="BM29" s="9">
        <v>12353</v>
      </c>
      <c r="BN29" s="9">
        <v>12556</v>
      </c>
      <c r="BO29" s="69"/>
      <c r="BQ29" s="9">
        <v>13660</v>
      </c>
      <c r="BR29" s="9">
        <v>13530</v>
      </c>
      <c r="BS29" s="9">
        <v>13607</v>
      </c>
      <c r="BT29" s="9">
        <v>13439</v>
      </c>
      <c r="BU29" s="69"/>
      <c r="BW29" s="9">
        <v>13771</v>
      </c>
      <c r="BX29" s="9">
        <v>13385</v>
      </c>
      <c r="BY29" s="9">
        <v>13208</v>
      </c>
      <c r="BZ29" s="9">
        <v>12936</v>
      </c>
      <c r="CA29" s="69"/>
      <c r="CC29" s="9">
        <v>13661</v>
      </c>
      <c r="CD29" s="9">
        <v>13445</v>
      </c>
      <c r="CE29" s="9">
        <f>+'Balance Sheet'!BR28</f>
        <v>13534</v>
      </c>
      <c r="CF29" s="9">
        <v>12995</v>
      </c>
      <c r="CG29" s="69"/>
      <c r="CI29" s="9">
        <f>+'Balance Sheet'!BU28</f>
        <v>13138</v>
      </c>
      <c r="CJ29" s="9">
        <f>+'Balance Sheet'!BV28</f>
        <v>13051</v>
      </c>
      <c r="CK29" s="9">
        <f>+'Balance Sheet'!BW28</f>
        <v>13432</v>
      </c>
      <c r="CL29" s="9">
        <f>+'Balance Sheet'!BX28</f>
        <v>12338</v>
      </c>
      <c r="CM29" s="69"/>
      <c r="CO29" s="9">
        <f>+'Balance Sheet'!BZ18</f>
        <v>13793</v>
      </c>
      <c r="CP29" s="9">
        <v>13862</v>
      </c>
      <c r="CQ29" s="9"/>
      <c r="CR29" s="9"/>
      <c r="CS29" s="69"/>
    </row>
    <row r="30" spans="1:97">
      <c r="A30" s="2" t="s">
        <v>156</v>
      </c>
      <c r="C30" s="9">
        <v>2277</v>
      </c>
      <c r="D30" s="9">
        <v>-221</v>
      </c>
      <c r="E30" s="9">
        <v>-162</v>
      </c>
      <c r="F30" s="9">
        <v>71</v>
      </c>
      <c r="G30" s="71"/>
      <c r="H30" s="8"/>
      <c r="I30" s="9">
        <v>7</v>
      </c>
      <c r="J30" s="9">
        <v>-30</v>
      </c>
      <c r="K30" s="9">
        <v>109</v>
      </c>
      <c r="L30" s="9">
        <v>407</v>
      </c>
      <c r="M30" s="69"/>
      <c r="O30" s="9">
        <v>321</v>
      </c>
      <c r="P30" s="9">
        <v>157</v>
      </c>
      <c r="Q30" s="9">
        <v>236</v>
      </c>
      <c r="R30" s="9">
        <v>409</v>
      </c>
      <c r="S30" s="69"/>
      <c r="U30" s="9">
        <v>217</v>
      </c>
      <c r="V30" s="9">
        <v>-932</v>
      </c>
      <c r="W30" s="9">
        <v>-638</v>
      </c>
      <c r="X30" s="9">
        <v>-333</v>
      </c>
      <c r="Y30" s="69"/>
      <c r="AA30" s="9">
        <v>347</v>
      </c>
      <c r="AB30" s="9">
        <v>-778</v>
      </c>
      <c r="AC30" s="9">
        <v>-465</v>
      </c>
      <c r="AD30" s="9">
        <v>-145</v>
      </c>
      <c r="AE30" s="69"/>
      <c r="AG30" s="9">
        <v>-337</v>
      </c>
      <c r="AH30" s="9">
        <v>-559</v>
      </c>
      <c r="AI30" s="9">
        <v>-858</v>
      </c>
      <c r="AJ30" s="9">
        <v>-764</v>
      </c>
      <c r="AK30" s="69"/>
      <c r="AM30" s="9">
        <v>-1176</v>
      </c>
      <c r="AN30" s="9">
        <v>-1221</v>
      </c>
      <c r="AO30" s="9">
        <v>-1168</v>
      </c>
      <c r="AP30" s="9">
        <v>-1023</v>
      </c>
      <c r="AQ30" s="69"/>
      <c r="AS30" s="9">
        <v>-1987</v>
      </c>
      <c r="AT30" s="9">
        <v>-2319</v>
      </c>
      <c r="AU30" s="9">
        <v>-2306</v>
      </c>
      <c r="AV30" s="9">
        <v>-1995</v>
      </c>
      <c r="AW30" s="69"/>
      <c r="AY30" s="9">
        <v>-2215</v>
      </c>
      <c r="AZ30" s="9">
        <v>-2825</v>
      </c>
      <c r="BA30" s="9">
        <v>-2821</v>
      </c>
      <c r="BB30" s="9">
        <v>-2260</v>
      </c>
      <c r="BC30" s="69"/>
      <c r="BE30" s="9">
        <v>-2283.3000000000002</v>
      </c>
      <c r="BF30" s="9">
        <v>-2587</v>
      </c>
      <c r="BG30" s="9">
        <v>-2681</v>
      </c>
      <c r="BH30" s="9">
        <v>-2725</v>
      </c>
      <c r="BI30" s="69"/>
      <c r="BK30" s="9">
        <v>-3394</v>
      </c>
      <c r="BL30" s="9">
        <v>-3790</v>
      </c>
      <c r="BM30" s="9">
        <v>-4144</v>
      </c>
      <c r="BN30" s="9">
        <v>-4105</v>
      </c>
      <c r="BO30" s="69"/>
      <c r="BQ30" s="9">
        <v>-4821</v>
      </c>
      <c r="BR30" s="9">
        <v>-4940</v>
      </c>
      <c r="BS30" s="9">
        <v>-4771</v>
      </c>
      <c r="BT30" s="9">
        <f>-4429</f>
        <v>-4429</v>
      </c>
      <c r="BU30" s="69"/>
      <c r="BW30" s="9">
        <v>-4491</v>
      </c>
      <c r="BX30" s="9">
        <v>-2692</v>
      </c>
      <c r="BY30" s="9">
        <v>-2751</v>
      </c>
      <c r="BZ30" s="9">
        <v>-1909</v>
      </c>
      <c r="CA30" s="69"/>
      <c r="CC30" s="9">
        <v>-2776</v>
      </c>
      <c r="CD30" s="9">
        <v>-2839</v>
      </c>
      <c r="CE30" s="9">
        <v>-2753</v>
      </c>
      <c r="CF30" s="9">
        <v>-2111</v>
      </c>
      <c r="CG30" s="69"/>
      <c r="CI30" s="9">
        <v>-1999</v>
      </c>
      <c r="CJ30" s="9">
        <v>-2008</v>
      </c>
      <c r="CK30" s="9">
        <v>-2119</v>
      </c>
      <c r="CL30" s="9">
        <v>-1135</v>
      </c>
      <c r="CM30" s="69"/>
      <c r="CO30" s="9">
        <v>-1322</v>
      </c>
      <c r="CP30" s="9">
        <v>-1438</v>
      </c>
      <c r="CQ30" s="9"/>
      <c r="CR30" s="9"/>
      <c r="CS30" s="69"/>
    </row>
    <row r="31" spans="1:97">
      <c r="A31" s="2" t="s">
        <v>39</v>
      </c>
      <c r="C31" s="9">
        <f>'Segment Data'!C78</f>
        <v>4376</v>
      </c>
      <c r="D31" s="9">
        <f>'Segment Data'!D78</f>
        <v>4360</v>
      </c>
      <c r="E31" s="9">
        <f>'Segment Data'!E78</f>
        <v>4180</v>
      </c>
      <c r="F31" s="9">
        <f>'Segment Data'!F78</f>
        <v>3916</v>
      </c>
      <c r="G31" s="71"/>
      <c r="H31" s="8"/>
      <c r="I31" s="9">
        <f>'Segment Data'!I78</f>
        <v>3944</v>
      </c>
      <c r="J31" s="9">
        <f>'Segment Data'!J78</f>
        <v>3777</v>
      </c>
      <c r="K31" s="9">
        <f>'Segment Data'!K78</f>
        <v>3616</v>
      </c>
      <c r="L31" s="9">
        <f>'Segment Data'!L78</f>
        <v>2626</v>
      </c>
      <c r="M31" s="69"/>
      <c r="O31" s="9">
        <v>2688</v>
      </c>
      <c r="P31" s="9">
        <v>2759</v>
      </c>
      <c r="Q31" s="9">
        <v>2715</v>
      </c>
      <c r="R31" s="9">
        <v>2549</v>
      </c>
      <c r="S31" s="69"/>
      <c r="U31" s="9">
        <v>2768</v>
      </c>
      <c r="V31" s="9">
        <v>3771</v>
      </c>
      <c r="W31" s="9">
        <v>3589</v>
      </c>
      <c r="X31" s="9">
        <v>3332</v>
      </c>
      <c r="Y31" s="69"/>
      <c r="AA31" s="9">
        <v>2436</v>
      </c>
      <c r="AB31" s="9">
        <v>3312</v>
      </c>
      <c r="AC31" s="9">
        <v>3139</v>
      </c>
      <c r="AD31" s="9">
        <v>2900</v>
      </c>
      <c r="AE31" s="69"/>
      <c r="AG31" s="9">
        <v>3137</v>
      </c>
      <c r="AH31" s="9">
        <v>3321</v>
      </c>
      <c r="AI31" s="9">
        <v>3494</v>
      </c>
      <c r="AJ31" s="9">
        <v>3499</v>
      </c>
      <c r="AK31" s="69"/>
      <c r="AM31" s="9">
        <v>3951</v>
      </c>
      <c r="AN31" s="9">
        <v>3818</v>
      </c>
      <c r="AO31" s="9">
        <v>3845</v>
      </c>
      <c r="AP31" s="9">
        <v>3829</v>
      </c>
      <c r="AQ31" s="69"/>
      <c r="AS31" s="9">
        <v>4894</v>
      </c>
      <c r="AT31" s="9">
        <v>5191</v>
      </c>
      <c r="AU31" s="9">
        <v>5295</v>
      </c>
      <c r="AV31" s="9">
        <v>5005</v>
      </c>
      <c r="AW31" s="69"/>
      <c r="AY31" s="9">
        <v>5591</v>
      </c>
      <c r="AZ31" s="9">
        <v>6222</v>
      </c>
      <c r="BA31" s="9">
        <v>6465</v>
      </c>
      <c r="BB31" s="9">
        <v>5725</v>
      </c>
      <c r="BC31" s="69"/>
      <c r="BE31" s="9">
        <v>5766.4</v>
      </c>
      <c r="BF31" s="9">
        <v>6129</v>
      </c>
      <c r="BG31" s="9">
        <v>6260</v>
      </c>
      <c r="BH31" s="9">
        <v>6465</v>
      </c>
      <c r="BI31" s="69"/>
      <c r="BK31" s="9">
        <v>7226</v>
      </c>
      <c r="BL31" s="9">
        <v>7843</v>
      </c>
      <c r="BM31" s="9">
        <v>8143</v>
      </c>
      <c r="BN31" s="9">
        <v>8218</v>
      </c>
      <c r="BO31" s="69"/>
      <c r="BQ31" s="9">
        <f>+'Segment Data'!BQ78</f>
        <v>8814</v>
      </c>
      <c r="BR31" s="9">
        <f>+'Segment Data'!BR78</f>
        <v>8928</v>
      </c>
      <c r="BS31" s="9">
        <f>+'Segment Data'!BS78</f>
        <v>8777</v>
      </c>
      <c r="BT31" s="9">
        <f>+'Segment Data'!BT78</f>
        <v>8496</v>
      </c>
      <c r="BU31" s="69"/>
      <c r="BW31" s="9">
        <f>+'Segment Data'!BW78</f>
        <v>8661</v>
      </c>
      <c r="BX31" s="9">
        <v>8250</v>
      </c>
      <c r="BY31" s="9">
        <v>8408</v>
      </c>
      <c r="BZ31" s="9">
        <v>7646</v>
      </c>
      <c r="CA31" s="69"/>
      <c r="CC31" s="9">
        <f>+'Segment Data'!CC78</f>
        <v>8355</v>
      </c>
      <c r="CD31" s="9">
        <f>+'Segment Data'!CD78</f>
        <v>8449</v>
      </c>
      <c r="CE31" s="9">
        <f>+'Segment Data'!CE78</f>
        <v>8371</v>
      </c>
      <c r="CF31" s="9">
        <v>7785</v>
      </c>
      <c r="CG31" s="69"/>
      <c r="CI31" s="9">
        <f>+'Segment Data'!CI78</f>
        <v>7605</v>
      </c>
      <c r="CJ31" s="9">
        <f>+'Segment Data'!CJ78</f>
        <v>7699</v>
      </c>
      <c r="CK31" s="9">
        <f>+'Segment Data'!CK78</f>
        <v>8038</v>
      </c>
      <c r="CL31" s="9">
        <f>+'Segment Data'!CL78</f>
        <v>7110</v>
      </c>
      <c r="CM31" s="69"/>
      <c r="CO31" s="9">
        <f>+'Segment Data'!CO78</f>
        <v>7638</v>
      </c>
      <c r="CP31" s="9">
        <v>7423</v>
      </c>
      <c r="CQ31" s="9"/>
      <c r="CR31" s="9"/>
      <c r="CS31" s="69"/>
    </row>
    <row r="32" spans="1:97">
      <c r="G32" s="69"/>
      <c r="M32" s="69"/>
      <c r="S32" s="69"/>
      <c r="Y32" s="69"/>
      <c r="AE32" s="69"/>
      <c r="AK32" s="69"/>
      <c r="AQ32" s="69"/>
      <c r="AW32" s="69"/>
      <c r="BC32" s="69"/>
      <c r="BI32" s="69"/>
      <c r="BO32" s="69"/>
      <c r="BU32" s="69"/>
      <c r="CA32" s="69"/>
      <c r="CG32" s="69"/>
      <c r="CM32" s="69"/>
      <c r="CS32" s="69"/>
    </row>
    <row r="33" spans="1:97" s="80" customFormat="1">
      <c r="A33" s="77" t="s">
        <v>54</v>
      </c>
      <c r="B33" s="77"/>
      <c r="C33" s="100"/>
      <c r="D33" s="100"/>
      <c r="E33" s="100"/>
      <c r="F33" s="100"/>
      <c r="G33" s="101"/>
      <c r="H33" s="102"/>
      <c r="I33" s="100"/>
      <c r="J33" s="100"/>
      <c r="K33" s="100"/>
      <c r="L33" s="100"/>
      <c r="M33" s="101"/>
      <c r="O33" s="100"/>
      <c r="P33" s="100"/>
      <c r="Q33" s="100"/>
      <c r="R33" s="100"/>
      <c r="S33" s="101"/>
      <c r="U33" s="100"/>
      <c r="V33" s="100"/>
      <c r="W33" s="100"/>
      <c r="X33" s="100"/>
      <c r="Y33" s="101"/>
      <c r="AA33" s="100"/>
      <c r="AB33" s="100"/>
      <c r="AC33" s="100"/>
      <c r="AD33" s="100"/>
      <c r="AE33" s="101"/>
      <c r="AG33" s="100"/>
      <c r="AH33" s="100"/>
      <c r="AI33" s="100"/>
      <c r="AJ33" s="100"/>
      <c r="AK33" s="101"/>
      <c r="AM33" s="100"/>
      <c r="AN33" s="100"/>
      <c r="AO33" s="100"/>
      <c r="AP33" s="100"/>
      <c r="AQ33" s="101"/>
      <c r="AS33" s="100"/>
      <c r="AT33" s="100"/>
      <c r="AU33" s="100"/>
      <c r="AV33" s="100"/>
      <c r="AW33" s="101"/>
      <c r="AY33" s="100"/>
      <c r="AZ33" s="100"/>
      <c r="BA33" s="100"/>
      <c r="BB33" s="100"/>
      <c r="BC33" s="101"/>
      <c r="BE33" s="100"/>
      <c r="BF33" s="100"/>
      <c r="BG33" s="100"/>
      <c r="BH33" s="100"/>
      <c r="BI33" s="101"/>
      <c r="BK33" s="100"/>
      <c r="BL33" s="100"/>
      <c r="BM33" s="100"/>
      <c r="BN33" s="100"/>
      <c r="BO33" s="101"/>
      <c r="BQ33" s="100"/>
      <c r="BR33" s="100"/>
      <c r="BS33" s="100"/>
      <c r="BT33" s="100"/>
      <c r="BU33" s="101"/>
      <c r="BW33" s="100"/>
      <c r="BX33" s="100"/>
      <c r="BY33" s="100"/>
      <c r="BZ33" s="100"/>
      <c r="CA33" s="101"/>
      <c r="CC33" s="100"/>
      <c r="CD33" s="100"/>
      <c r="CE33" s="100"/>
      <c r="CF33" s="100"/>
      <c r="CG33" s="101"/>
      <c r="CI33" s="100"/>
      <c r="CJ33" s="100"/>
      <c r="CK33" s="100"/>
      <c r="CL33" s="100"/>
      <c r="CM33" s="101"/>
      <c r="CO33" s="100"/>
      <c r="CP33" s="100"/>
      <c r="CQ33" s="100"/>
      <c r="CR33" s="100"/>
      <c r="CS33" s="101"/>
    </row>
    <row r="34" spans="1:97" ht="3.75" customHeight="1">
      <c r="G34" s="69"/>
      <c r="M34" s="69"/>
      <c r="S34" s="69"/>
      <c r="V34" s="14"/>
      <c r="W34" s="14"/>
      <c r="X34" s="14"/>
      <c r="Y34" s="69"/>
      <c r="AB34" s="14"/>
      <c r="AC34" s="14"/>
      <c r="AD34" s="14"/>
      <c r="AE34" s="69"/>
      <c r="AH34" s="14"/>
      <c r="AI34" s="14"/>
      <c r="AJ34" s="14"/>
      <c r="AK34" s="69"/>
      <c r="AN34" s="14"/>
      <c r="AO34" s="14"/>
      <c r="AP34" s="14"/>
      <c r="AQ34" s="69"/>
      <c r="AT34" s="14"/>
      <c r="AU34" s="14"/>
      <c r="AV34" s="14"/>
      <c r="AW34" s="69"/>
      <c r="AZ34" s="14"/>
      <c r="BA34" s="14"/>
      <c r="BB34" s="14"/>
      <c r="BC34" s="69"/>
      <c r="BF34" s="14"/>
      <c r="BG34" s="14"/>
      <c r="BH34" s="14"/>
      <c r="BI34" s="69"/>
      <c r="BL34" s="14"/>
      <c r="BM34" s="14"/>
      <c r="BN34" s="14"/>
      <c r="BO34" s="69"/>
      <c r="BR34" s="14"/>
      <c r="BS34" s="14"/>
      <c r="BT34" s="14"/>
      <c r="BU34" s="69"/>
      <c r="BX34" s="14"/>
      <c r="BY34" s="14"/>
      <c r="BZ34" s="14"/>
      <c r="CA34" s="69"/>
      <c r="CD34" s="14"/>
      <c r="CE34" s="14"/>
      <c r="CF34" s="14"/>
      <c r="CG34" s="69"/>
      <c r="CJ34" s="14"/>
      <c r="CK34" s="14"/>
      <c r="CL34" s="14"/>
      <c r="CM34" s="69"/>
      <c r="CP34" s="14"/>
      <c r="CQ34" s="14"/>
      <c r="CR34" s="14"/>
      <c r="CS34" s="69"/>
    </row>
    <row r="35" spans="1:97">
      <c r="A35" s="2" t="s">
        <v>106</v>
      </c>
      <c r="C35" s="9">
        <v>-25</v>
      </c>
      <c r="D35" s="9">
        <v>107</v>
      </c>
      <c r="E35" s="9">
        <v>16</v>
      </c>
      <c r="F35" s="9">
        <v>348</v>
      </c>
      <c r="G35" s="71">
        <f>SUM(C35:F35)</f>
        <v>446</v>
      </c>
      <c r="H35" s="8"/>
      <c r="I35" s="9">
        <v>-71</v>
      </c>
      <c r="J35" s="9">
        <v>60</v>
      </c>
      <c r="K35" s="9">
        <v>141</v>
      </c>
      <c r="L35" s="9">
        <v>224</v>
      </c>
      <c r="M35" s="71">
        <f>SUM(I35:L35)</f>
        <v>354</v>
      </c>
      <c r="O35" s="9">
        <v>-52</v>
      </c>
      <c r="P35" s="9">
        <v>-50</v>
      </c>
      <c r="Q35" s="9">
        <v>116</v>
      </c>
      <c r="R35" s="9">
        <v>221</v>
      </c>
      <c r="S35" s="71">
        <f>SUM(O35:R35)</f>
        <v>235</v>
      </c>
      <c r="U35" s="9">
        <v>-124</v>
      </c>
      <c r="V35" s="9">
        <v>-38</v>
      </c>
      <c r="W35" s="9">
        <v>131</v>
      </c>
      <c r="X35" s="9">
        <v>301</v>
      </c>
      <c r="Y35" s="71">
        <f>SUM(U35:X35)</f>
        <v>270</v>
      </c>
      <c r="AA35" s="9">
        <v>-119</v>
      </c>
      <c r="AB35" s="9">
        <v>-20</v>
      </c>
      <c r="AC35" s="9">
        <v>149</v>
      </c>
      <c r="AD35" s="9">
        <v>275</v>
      </c>
      <c r="AE35" s="71">
        <f>SUM(AA35:AD35)</f>
        <v>285</v>
      </c>
      <c r="AG35" s="9">
        <v>-188</v>
      </c>
      <c r="AH35" s="9">
        <v>20</v>
      </c>
      <c r="AI35" s="9">
        <v>55</v>
      </c>
      <c r="AJ35" s="9">
        <v>154</v>
      </c>
      <c r="AK35" s="71">
        <f>SUM(AG35:AJ35)</f>
        <v>41</v>
      </c>
      <c r="AM35" s="9">
        <v>-216</v>
      </c>
      <c r="AN35" s="9">
        <v>79</v>
      </c>
      <c r="AO35" s="9">
        <v>186</v>
      </c>
      <c r="AP35" s="9">
        <v>216</v>
      </c>
      <c r="AQ35" s="71">
        <f>SUM(AM35:AP35)</f>
        <v>265</v>
      </c>
      <c r="AS35" s="9">
        <v>50</v>
      </c>
      <c r="AT35" s="9">
        <v>140</v>
      </c>
      <c r="AU35" s="9">
        <v>425</v>
      </c>
      <c r="AV35" s="9">
        <v>547</v>
      </c>
      <c r="AW35" s="71">
        <f>SUM(AS35:AV35)</f>
        <v>1162</v>
      </c>
      <c r="AY35" s="9">
        <v>-250</v>
      </c>
      <c r="AZ35" s="9">
        <v>-23</v>
      </c>
      <c r="BA35" s="9">
        <v>179</v>
      </c>
      <c r="BB35" s="11">
        <v>857</v>
      </c>
      <c r="BC35" s="71">
        <f>SUM(AY35:BB35)</f>
        <v>763</v>
      </c>
      <c r="BE35" s="11">
        <v>167</v>
      </c>
      <c r="BF35" s="9">
        <v>21</v>
      </c>
      <c r="BG35" s="11">
        <v>203</v>
      </c>
      <c r="BH35" s="11">
        <v>191</v>
      </c>
      <c r="BI35" s="71">
        <f>SUM(BE35:BH35)</f>
        <v>582</v>
      </c>
      <c r="BK35" s="11">
        <v>-221</v>
      </c>
      <c r="BL35" s="11">
        <v>-263</v>
      </c>
      <c r="BM35" s="11">
        <v>-150</v>
      </c>
      <c r="BN35" s="11">
        <v>260</v>
      </c>
      <c r="BO35" s="71">
        <f>SUM(BK35:BN35)</f>
        <v>-374</v>
      </c>
      <c r="BQ35" s="11">
        <f>+Cashflow!BQ11</f>
        <v>-453</v>
      </c>
      <c r="BR35" s="11">
        <f>+Cashflow!BR11</f>
        <v>72</v>
      </c>
      <c r="BS35" s="11">
        <f>+Cashflow!BS11</f>
        <v>399</v>
      </c>
      <c r="BT35" s="11">
        <f>+Cashflow!BT11</f>
        <v>540</v>
      </c>
      <c r="BU35" s="71">
        <f>SUM(BQ35:BT35)</f>
        <v>558</v>
      </c>
      <c r="BW35" s="11">
        <f>+Cashflow!BW11</f>
        <v>27</v>
      </c>
      <c r="BX35" s="11">
        <f>+Cashflow!BX11</f>
        <v>66</v>
      </c>
      <c r="BY35" s="11">
        <f>+Cashflow!BY11</f>
        <v>30</v>
      </c>
      <c r="BZ35" s="11">
        <f>+Cashflow!BZ11</f>
        <v>999</v>
      </c>
      <c r="CA35" s="71">
        <f>SUM(BW35:BZ35)</f>
        <v>1122</v>
      </c>
      <c r="CC35" s="11">
        <f>+Cashflow!CC11</f>
        <v>-521</v>
      </c>
      <c r="CD35" s="11">
        <f>+Cashflow!CD11</f>
        <v>-10</v>
      </c>
      <c r="CE35" s="11">
        <v>356</v>
      </c>
      <c r="CF35" s="11">
        <v>720</v>
      </c>
      <c r="CG35" s="71">
        <f>SUM(CC35:CF35)</f>
        <v>545</v>
      </c>
      <c r="CI35" s="11">
        <f>+Cashflow!CI11</f>
        <v>199</v>
      </c>
      <c r="CJ35" s="11">
        <f>+Cashflow!CJ11</f>
        <v>109</v>
      </c>
      <c r="CK35" s="11">
        <f>+Cashflow!CK11</f>
        <v>129</v>
      </c>
      <c r="CL35" s="11">
        <f>+Cashflow!CL11</f>
        <v>1146</v>
      </c>
      <c r="CM35" s="71">
        <f>SUM(CI35:CL35)</f>
        <v>1583</v>
      </c>
      <c r="CO35" s="11">
        <f>+Cashflow!CO11</f>
        <v>95</v>
      </c>
      <c r="CP35" s="11">
        <f>+Cashflow!CP11</f>
        <v>40</v>
      </c>
      <c r="CQ35" s="11"/>
      <c r="CR35" s="11"/>
      <c r="CS35" s="71">
        <f>SUM(CO35:CR35)</f>
        <v>135</v>
      </c>
    </row>
    <row r="36" spans="1:97">
      <c r="A36" s="2" t="s">
        <v>107</v>
      </c>
      <c r="C36" s="9">
        <v>-57</v>
      </c>
      <c r="D36" s="9">
        <v>17</v>
      </c>
      <c r="E36" s="9">
        <v>-22</v>
      </c>
      <c r="F36" s="9">
        <v>-61</v>
      </c>
      <c r="G36" s="71">
        <f>SUM(C36:F36)</f>
        <v>-123</v>
      </c>
      <c r="H36" s="8"/>
      <c r="I36" s="9">
        <v>80</v>
      </c>
      <c r="J36" s="9">
        <v>-48</v>
      </c>
      <c r="K36" s="9">
        <v>32</v>
      </c>
      <c r="L36" s="9">
        <v>-7</v>
      </c>
      <c r="M36" s="71">
        <f>SUM(I36:L36)</f>
        <v>57</v>
      </c>
      <c r="O36" s="9">
        <v>-20</v>
      </c>
      <c r="P36" s="9">
        <v>-23</v>
      </c>
      <c r="Q36" s="9">
        <v>-29</v>
      </c>
      <c r="R36" s="9">
        <v>-44</v>
      </c>
      <c r="S36" s="71">
        <f>SUM(O36:R36)</f>
        <v>-116</v>
      </c>
      <c r="U36" s="9">
        <v>-41</v>
      </c>
      <c r="V36" s="9">
        <v>-52</v>
      </c>
      <c r="W36" s="9">
        <v>199</v>
      </c>
      <c r="X36" s="9">
        <v>29</v>
      </c>
      <c r="Y36" s="71">
        <f>SUM(U36:X36)</f>
        <v>135</v>
      </c>
      <c r="AA36" s="9">
        <v>-39</v>
      </c>
      <c r="AB36" s="9">
        <v>-51</v>
      </c>
      <c r="AC36" s="9">
        <v>199</v>
      </c>
      <c r="AD36" s="9">
        <v>31</v>
      </c>
      <c r="AE36" s="71">
        <f>SUM(AA36:AD36)</f>
        <v>140</v>
      </c>
      <c r="AG36" s="9">
        <v>-28</v>
      </c>
      <c r="AH36" s="9">
        <v>-15</v>
      </c>
      <c r="AI36" s="9">
        <v>-56</v>
      </c>
      <c r="AJ36" s="9">
        <v>-6</v>
      </c>
      <c r="AK36" s="71">
        <f>SUM(AG36:AJ36)</f>
        <v>-105</v>
      </c>
      <c r="AM36" s="9">
        <v>-67</v>
      </c>
      <c r="AN36" s="9">
        <v>176</v>
      </c>
      <c r="AO36" s="9">
        <v>-46</v>
      </c>
      <c r="AP36" s="9">
        <v>-92</v>
      </c>
      <c r="AQ36" s="71">
        <f>SUM(AM36:AP36)</f>
        <v>-29</v>
      </c>
      <c r="AS36" s="9">
        <v>-89</v>
      </c>
      <c r="AT36" s="9">
        <v>-85</v>
      </c>
      <c r="AU36" s="9">
        <v>-84</v>
      </c>
      <c r="AV36" s="9">
        <v>-131</v>
      </c>
      <c r="AW36" s="71">
        <f>SUM(AS36:AV36)</f>
        <v>-389</v>
      </c>
      <c r="AY36" s="9">
        <v>187</v>
      </c>
      <c r="AZ36" s="9">
        <v>-154</v>
      </c>
      <c r="BA36" s="9">
        <v>-169</v>
      </c>
      <c r="BB36" s="11">
        <v>-304</v>
      </c>
      <c r="BC36" s="71">
        <f>SUM(AY36:BB36)</f>
        <v>-440</v>
      </c>
      <c r="BE36" s="11">
        <v>-166</v>
      </c>
      <c r="BF36" s="9">
        <v>-255</v>
      </c>
      <c r="BG36" s="11">
        <v>-247</v>
      </c>
      <c r="BH36" s="11">
        <v>-200</v>
      </c>
      <c r="BI36" s="71">
        <f>SUM(BE36:BH36)</f>
        <v>-868</v>
      </c>
      <c r="BK36" s="11">
        <v>-295</v>
      </c>
      <c r="BL36" s="11">
        <f>-159+6</f>
        <v>-153</v>
      </c>
      <c r="BM36" s="11">
        <v>-131</v>
      </c>
      <c r="BN36" s="11">
        <v>-144</v>
      </c>
      <c r="BO36" s="71">
        <f>SUM(BK36:BN36)</f>
        <v>-723</v>
      </c>
      <c r="BQ36" s="11">
        <f>+Cashflow!BQ14</f>
        <v>-93</v>
      </c>
      <c r="BR36" s="11">
        <f>+Cashflow!BR14</f>
        <v>-109</v>
      </c>
      <c r="BS36" s="11">
        <f>+Cashflow!BS14</f>
        <v>-100</v>
      </c>
      <c r="BT36" s="11">
        <f>+Cashflow!BT14</f>
        <v>-125</v>
      </c>
      <c r="BU36" s="71">
        <f>SUM(BQ36:BT36)</f>
        <v>-427</v>
      </c>
      <c r="BW36" s="11">
        <f>+Cashflow!BW14</f>
        <v>-88</v>
      </c>
      <c r="BX36" s="11">
        <f>+Cashflow!BX14</f>
        <v>-67</v>
      </c>
      <c r="BY36" s="11">
        <f>+Cashflow!BY14</f>
        <v>-53</v>
      </c>
      <c r="BZ36" s="11">
        <f>+Cashflow!BZ14</f>
        <v>-109</v>
      </c>
      <c r="CA36" s="71">
        <f>SUM(BW36:BZ36)</f>
        <v>-317</v>
      </c>
      <c r="CC36" s="11">
        <f>+Cashflow!CC14</f>
        <v>-60</v>
      </c>
      <c r="CD36" s="11">
        <f>+Cashflow!CD14</f>
        <v>-53</v>
      </c>
      <c r="CE36" s="11">
        <f>+Cashflow!CE14</f>
        <v>-52</v>
      </c>
      <c r="CF36" s="11">
        <f>+Cashflow!CF14</f>
        <v>-79</v>
      </c>
      <c r="CG36" s="71">
        <f>SUM(CC36:CF36)</f>
        <v>-244</v>
      </c>
      <c r="CI36" s="11">
        <f>+Cashflow!CI14</f>
        <v>-50</v>
      </c>
      <c r="CJ36" s="11">
        <f>+Cashflow!CJ14</f>
        <v>-49</v>
      </c>
      <c r="CK36" s="11">
        <f>+Cashflow!CK14</f>
        <v>-70</v>
      </c>
      <c r="CL36" s="11">
        <f>+Cashflow!CL14</f>
        <v>-62</v>
      </c>
      <c r="CM36" s="71">
        <f>SUM(CI36:CL36)</f>
        <v>-231</v>
      </c>
      <c r="CO36" s="11">
        <f>+Cashflow!CO14</f>
        <v>-38</v>
      </c>
      <c r="CP36" s="11">
        <f>+Cashflow!CP14</f>
        <v>-55</v>
      </c>
      <c r="CQ36" s="11"/>
      <c r="CR36" s="11"/>
      <c r="CS36" s="71">
        <f>SUM(CO36:CR36)</f>
        <v>-93</v>
      </c>
    </row>
    <row r="37" spans="1:97">
      <c r="G37" s="69"/>
      <c r="M37" s="69"/>
      <c r="S37" s="69"/>
      <c r="Y37" s="69"/>
      <c r="AE37" s="69"/>
      <c r="AK37" s="69"/>
      <c r="AQ37" s="69"/>
      <c r="AW37" s="69"/>
      <c r="BC37" s="69"/>
      <c r="BI37" s="69"/>
      <c r="BO37" s="69"/>
      <c r="BU37" s="69"/>
      <c r="CA37" s="69"/>
      <c r="CG37" s="69"/>
      <c r="CM37" s="69"/>
      <c r="CS37" s="69"/>
    </row>
    <row r="38" spans="1:97" s="80" customFormat="1">
      <c r="A38" s="77" t="s">
        <v>16</v>
      </c>
      <c r="B38" s="77"/>
      <c r="C38" s="100"/>
      <c r="D38" s="100"/>
      <c r="E38" s="100"/>
      <c r="F38" s="100"/>
      <c r="G38" s="101"/>
      <c r="H38" s="102"/>
      <c r="I38" s="100"/>
      <c r="J38" s="100"/>
      <c r="K38" s="100"/>
      <c r="L38" s="100"/>
      <c r="M38" s="101"/>
      <c r="O38" s="100"/>
      <c r="P38" s="100"/>
      <c r="Q38" s="100"/>
      <c r="R38" s="100"/>
      <c r="S38" s="101"/>
      <c r="U38" s="100"/>
      <c r="V38" s="100"/>
      <c r="W38" s="100"/>
      <c r="X38" s="100"/>
      <c r="Y38" s="101"/>
      <c r="AA38" s="100"/>
      <c r="AB38" s="100"/>
      <c r="AC38" s="100"/>
      <c r="AD38" s="100"/>
      <c r="AE38" s="101"/>
      <c r="AG38" s="100"/>
      <c r="AH38" s="100"/>
      <c r="AI38" s="100"/>
      <c r="AJ38" s="100"/>
      <c r="AK38" s="101"/>
      <c r="AM38" s="100"/>
      <c r="AN38" s="100"/>
      <c r="AO38" s="100"/>
      <c r="AP38" s="100"/>
      <c r="AQ38" s="101"/>
      <c r="AS38" s="100"/>
      <c r="AT38" s="100"/>
      <c r="AU38" s="100"/>
      <c r="AV38" s="100"/>
      <c r="AW38" s="101"/>
      <c r="AY38" s="100"/>
      <c r="AZ38" s="100"/>
      <c r="BA38" s="100"/>
      <c r="BB38" s="100"/>
      <c r="BC38" s="101"/>
      <c r="BE38" s="100"/>
      <c r="BF38" s="100"/>
      <c r="BG38" s="100"/>
      <c r="BH38" s="100"/>
      <c r="BI38" s="101"/>
      <c r="BK38" s="100"/>
      <c r="BL38" s="100"/>
      <c r="BM38" s="100"/>
      <c r="BN38" s="100"/>
      <c r="BO38" s="101"/>
      <c r="BQ38" s="100"/>
      <c r="BR38" s="100"/>
      <c r="BS38" s="100"/>
      <c r="BT38" s="100"/>
      <c r="BU38" s="101"/>
      <c r="BW38" s="100"/>
      <c r="BX38" s="100"/>
      <c r="BY38" s="100"/>
      <c r="BZ38" s="100"/>
      <c r="CA38" s="101"/>
      <c r="CC38" s="100"/>
      <c r="CD38" s="100"/>
      <c r="CE38" s="100"/>
      <c r="CF38" s="100"/>
      <c r="CG38" s="101"/>
      <c r="CI38" s="100"/>
      <c r="CJ38" s="100"/>
      <c r="CK38" s="100"/>
      <c r="CL38" s="100"/>
      <c r="CM38" s="101"/>
      <c r="CO38" s="100"/>
      <c r="CP38" s="100"/>
      <c r="CQ38" s="100"/>
      <c r="CR38" s="100"/>
      <c r="CS38" s="101"/>
    </row>
    <row r="39" spans="1:97" ht="4.5" customHeight="1">
      <c r="G39" s="69"/>
      <c r="M39" s="69"/>
      <c r="S39" s="69"/>
      <c r="Y39" s="69"/>
      <c r="AE39" s="69"/>
      <c r="AK39" s="69"/>
      <c r="AQ39" s="69"/>
      <c r="AW39" s="69"/>
      <c r="BC39" s="69"/>
      <c r="BI39" s="69"/>
      <c r="BO39" s="69"/>
      <c r="BU39" s="69"/>
      <c r="CA39" s="69"/>
      <c r="CG39" s="69"/>
      <c r="CM39" s="69"/>
      <c r="CS39" s="69"/>
    </row>
    <row r="40" spans="1:97" ht="12.75" customHeight="1">
      <c r="A40" s="2" t="s">
        <v>17</v>
      </c>
      <c r="C40" s="15">
        <v>0.68</v>
      </c>
      <c r="D40" s="15">
        <v>0.56000000000000005</v>
      </c>
      <c r="E40" s="15">
        <v>0.56000000000000005</v>
      </c>
      <c r="F40" s="15">
        <v>0.57999999999999996</v>
      </c>
      <c r="G40" s="72"/>
      <c r="H40" s="16"/>
      <c r="I40" s="15">
        <v>0.6</v>
      </c>
      <c r="J40" s="15">
        <v>0.59</v>
      </c>
      <c r="K40" s="15">
        <v>0.59</v>
      </c>
      <c r="L40" s="15">
        <v>0.57999999999999996</v>
      </c>
      <c r="M40" s="72"/>
      <c r="O40" s="15">
        <v>0.57999999999999996</v>
      </c>
      <c r="P40" s="15">
        <v>0.57999999999999996</v>
      </c>
      <c r="Q40" s="15">
        <v>0.6</v>
      </c>
      <c r="R40" s="15">
        <v>0.61</v>
      </c>
      <c r="S40" s="72"/>
      <c r="U40" s="15">
        <v>0.6</v>
      </c>
      <c r="V40" s="15">
        <v>0.43</v>
      </c>
      <c r="W40" s="15">
        <v>0.46</v>
      </c>
      <c r="X40" s="15">
        <v>0.47</v>
      </c>
      <c r="Y40" s="72"/>
      <c r="AA40" s="15">
        <v>0.6</v>
      </c>
      <c r="AB40" s="15">
        <v>0.42</v>
      </c>
      <c r="AC40" s="15">
        <v>0.46</v>
      </c>
      <c r="AD40" s="15">
        <v>0.47</v>
      </c>
      <c r="AE40" s="72"/>
      <c r="AG40" s="15">
        <v>0.47</v>
      </c>
      <c r="AH40" s="15">
        <v>0.46</v>
      </c>
      <c r="AI40" s="15">
        <v>0.43</v>
      </c>
      <c r="AJ40" s="15">
        <v>0.44</v>
      </c>
      <c r="AK40" s="72"/>
      <c r="AM40" s="15">
        <v>0.43</v>
      </c>
      <c r="AN40" s="15">
        <v>0.38</v>
      </c>
      <c r="AO40" s="15">
        <v>0.39</v>
      </c>
      <c r="AP40" s="15">
        <v>0.38</v>
      </c>
      <c r="AQ40" s="72"/>
      <c r="AS40" s="15">
        <v>0.36</v>
      </c>
      <c r="AT40" s="15">
        <v>0.33</v>
      </c>
      <c r="AU40" s="15">
        <v>0.33</v>
      </c>
      <c r="AV40" s="15">
        <v>0.36</v>
      </c>
      <c r="AW40" s="72" t="s">
        <v>63</v>
      </c>
      <c r="AY40" s="15">
        <v>0.35</v>
      </c>
      <c r="AZ40" s="15">
        <v>0.33</v>
      </c>
      <c r="BA40" s="15">
        <v>0.35</v>
      </c>
      <c r="BB40" s="15">
        <v>0.35</v>
      </c>
      <c r="BC40" s="72" t="s">
        <v>63</v>
      </c>
      <c r="BE40" s="15">
        <v>0.36</v>
      </c>
      <c r="BF40" s="17">
        <v>0.36</v>
      </c>
      <c r="BG40" s="18">
        <v>0.35</v>
      </c>
      <c r="BH40" s="18">
        <v>0.37</v>
      </c>
      <c r="BI40" s="72" t="s">
        <v>63</v>
      </c>
      <c r="BK40" s="15">
        <v>0.34</v>
      </c>
      <c r="BL40" s="18">
        <v>0.33</v>
      </c>
      <c r="BM40" s="18">
        <v>0.32</v>
      </c>
      <c r="BN40" s="18">
        <v>0.33</v>
      </c>
      <c r="BO40" s="75"/>
      <c r="BQ40" s="15">
        <v>0.28999999999999998</v>
      </c>
      <c r="BR40" s="15">
        <v>0.28999999999999998</v>
      </c>
      <c r="BS40" s="18">
        <v>0.28999999999999998</v>
      </c>
      <c r="BT40" s="18">
        <v>0.3</v>
      </c>
      <c r="BU40" s="75"/>
      <c r="BW40" s="15">
        <v>0.3</v>
      </c>
      <c r="BX40" s="15">
        <v>0.41</v>
      </c>
      <c r="BY40" s="15">
        <v>0.43</v>
      </c>
      <c r="BZ40" s="18">
        <v>0.44</v>
      </c>
      <c r="CA40" s="75"/>
      <c r="CC40" s="15">
        <v>0.41</v>
      </c>
      <c r="CD40" s="15">
        <v>0.42</v>
      </c>
      <c r="CE40" s="15">
        <v>0.41</v>
      </c>
      <c r="CF40" s="18">
        <v>0.44</v>
      </c>
      <c r="CG40" s="75"/>
      <c r="CI40" s="15">
        <v>0.43</v>
      </c>
      <c r="CJ40" s="15">
        <v>0.44</v>
      </c>
      <c r="CK40" s="15">
        <v>0.44</v>
      </c>
      <c r="CL40" s="18">
        <v>0.48</v>
      </c>
      <c r="CM40" s="75"/>
      <c r="CO40" s="15">
        <v>0.46</v>
      </c>
      <c r="CP40" s="15">
        <v>0.43</v>
      </c>
      <c r="CQ40" s="15"/>
      <c r="CR40" s="18"/>
      <c r="CS40" s="75"/>
    </row>
    <row r="41" spans="1:97" ht="12.75" customHeight="1">
      <c r="A41" s="2" t="s">
        <v>217</v>
      </c>
      <c r="C41" s="2">
        <v>26980</v>
      </c>
      <c r="D41" s="2">
        <v>25000</v>
      </c>
      <c r="E41" s="2">
        <v>25000</v>
      </c>
      <c r="F41" s="2">
        <v>25000</v>
      </c>
      <c r="G41" s="69"/>
      <c r="I41" s="2">
        <v>25000</v>
      </c>
      <c r="J41" s="2">
        <v>25000</v>
      </c>
      <c r="K41" s="2">
        <v>25000</v>
      </c>
      <c r="L41" s="2">
        <v>25000</v>
      </c>
      <c r="M41" s="69"/>
      <c r="O41" s="2">
        <v>25000</v>
      </c>
      <c r="P41" s="2">
        <v>25000</v>
      </c>
      <c r="Q41" s="2">
        <v>25000</v>
      </c>
      <c r="R41" s="2">
        <v>25000</v>
      </c>
      <c r="S41" s="69"/>
      <c r="U41" s="2">
        <v>25000</v>
      </c>
      <c r="V41" s="2">
        <v>25000</v>
      </c>
      <c r="W41" s="2">
        <v>24500</v>
      </c>
      <c r="X41" s="2">
        <v>24500</v>
      </c>
      <c r="Y41" s="69"/>
      <c r="AA41" s="2">
        <v>25000</v>
      </c>
      <c r="AB41" s="2">
        <v>25000</v>
      </c>
      <c r="AC41" s="2">
        <v>24500</v>
      </c>
      <c r="AD41" s="2">
        <v>24500</v>
      </c>
      <c r="AE41" s="69"/>
      <c r="AG41" s="2">
        <v>24500</v>
      </c>
      <c r="AH41" s="2">
        <v>24500</v>
      </c>
      <c r="AI41" s="2">
        <v>24500</v>
      </c>
      <c r="AJ41" s="2">
        <v>24500</v>
      </c>
      <c r="AK41" s="69"/>
      <c r="AM41" s="2">
        <v>24500</v>
      </c>
      <c r="AN41" s="2">
        <v>23500</v>
      </c>
      <c r="AO41" s="2">
        <v>23500</v>
      </c>
      <c r="AP41" s="2">
        <v>23500</v>
      </c>
      <c r="AQ41" s="69"/>
      <c r="AS41" s="19">
        <v>23561</v>
      </c>
      <c r="AT41" s="19">
        <v>23638</v>
      </c>
      <c r="AU41" s="19">
        <v>23638</v>
      </c>
      <c r="AV41" s="19">
        <v>23638</v>
      </c>
      <c r="AW41" s="69"/>
      <c r="AY41" s="19">
        <v>23655</v>
      </c>
      <c r="AZ41" s="19">
        <v>23718</v>
      </c>
      <c r="BA41" s="19">
        <v>23718</v>
      </c>
      <c r="BB41" s="19">
        <v>23718</v>
      </c>
      <c r="BC41" s="69"/>
      <c r="BE41" s="19">
        <v>23718</v>
      </c>
      <c r="BF41" s="20">
        <v>23718</v>
      </c>
      <c r="BG41" s="20">
        <v>23718</v>
      </c>
      <c r="BH41" s="20">
        <f>23718</f>
        <v>23718</v>
      </c>
      <c r="BI41" s="69"/>
      <c r="BK41" s="19">
        <v>23722</v>
      </c>
      <c r="BL41" s="19">
        <v>23738</v>
      </c>
      <c r="BM41" s="20">
        <v>23738</v>
      </c>
      <c r="BN41" s="20">
        <v>23738</v>
      </c>
      <c r="BO41" s="69"/>
      <c r="BQ41" s="19">
        <f>+Valuation!BA5</f>
        <v>23737.978999999999</v>
      </c>
      <c r="BR41" s="19">
        <f>+Valuation!BB5</f>
        <v>23737.978999999999</v>
      </c>
      <c r="BS41" s="19">
        <f>+Valuation!BC5</f>
        <v>23737.978999999999</v>
      </c>
      <c r="BT41" s="19">
        <f>+Valuation!BD5</f>
        <v>23737.978999999999</v>
      </c>
      <c r="BU41" s="69"/>
      <c r="BW41" s="19">
        <f>+Valuation!BF5</f>
        <v>23888</v>
      </c>
      <c r="BX41" s="19">
        <v>23888</v>
      </c>
      <c r="BY41" s="19">
        <v>23888</v>
      </c>
      <c r="BZ41" s="19">
        <v>23888</v>
      </c>
      <c r="CA41" s="69"/>
      <c r="CC41" s="19">
        <f>+Valuation!BK5</f>
        <v>23930</v>
      </c>
      <c r="CD41" s="19">
        <f>+Valuation!BL5</f>
        <v>23930</v>
      </c>
      <c r="CE41" s="19">
        <f>+Valuation!BM5</f>
        <v>23930</v>
      </c>
      <c r="CF41" s="19">
        <f>+Valuation!BN5</f>
        <v>23930</v>
      </c>
      <c r="CG41" s="69"/>
      <c r="CI41" s="19">
        <f>+Valuation!BP5</f>
        <v>23934</v>
      </c>
      <c r="CJ41" s="19">
        <f>+Valuation!BQ5</f>
        <v>23934</v>
      </c>
      <c r="CK41" s="19">
        <f>+Valuation!BR5</f>
        <v>23934</v>
      </c>
      <c r="CL41" s="19">
        <f>+Valuation!BS5</f>
        <v>23934</v>
      </c>
      <c r="CM41" s="69"/>
      <c r="CO41" s="19">
        <f>+Valuation!BU5</f>
        <v>24186</v>
      </c>
      <c r="CP41" s="19">
        <f>+Valuation!BV5</f>
        <v>24186</v>
      </c>
      <c r="CQ41" s="19"/>
      <c r="CR41" s="19"/>
      <c r="CS41" s="69"/>
    </row>
    <row r="42" spans="1:97" ht="12.75" customHeight="1">
      <c r="A42" s="2" t="s">
        <v>21</v>
      </c>
      <c r="C42" s="21">
        <v>0</v>
      </c>
      <c r="D42" s="21">
        <v>3</v>
      </c>
      <c r="E42" s="21">
        <v>-1.9</v>
      </c>
      <c r="F42" s="21">
        <v>-2.4</v>
      </c>
      <c r="G42" s="73">
        <f>SUM(C42:F42)</f>
        <v>-1.2999999999999998</v>
      </c>
      <c r="H42" s="22"/>
      <c r="I42" s="21">
        <v>-1.3</v>
      </c>
      <c r="J42" s="21">
        <v>-0.9</v>
      </c>
      <c r="K42" s="21">
        <v>0</v>
      </c>
      <c r="L42" s="21">
        <v>-25.6</v>
      </c>
      <c r="M42" s="73">
        <f>SUM(I42:L42)</f>
        <v>-27.8</v>
      </c>
      <c r="O42" s="21">
        <v>-0.1</v>
      </c>
      <c r="P42" s="21">
        <v>0.9</v>
      </c>
      <c r="Q42" s="21">
        <v>1.3</v>
      </c>
      <c r="R42" s="21">
        <v>1.4</v>
      </c>
      <c r="S42" s="73">
        <f>SUM(O42:R42)</f>
        <v>3.5</v>
      </c>
      <c r="U42" s="21">
        <v>0.1</v>
      </c>
      <c r="V42" s="21">
        <v>1.8</v>
      </c>
      <c r="W42" s="21">
        <v>4.4000000000000004</v>
      </c>
      <c r="X42" s="21">
        <v>4.4000000000000004</v>
      </c>
      <c r="Y42" s="73">
        <f>SUM(U42:X42)</f>
        <v>10.700000000000001</v>
      </c>
      <c r="AA42" s="21">
        <v>0.7</v>
      </c>
      <c r="AB42" s="21">
        <v>-2.6</v>
      </c>
      <c r="AC42" s="21">
        <v>5.3</v>
      </c>
      <c r="AD42" s="21">
        <v>4.2</v>
      </c>
      <c r="AE42" s="73">
        <f>SUM(AA42:AD42)</f>
        <v>7.6</v>
      </c>
      <c r="AG42" s="21">
        <v>2.1</v>
      </c>
      <c r="AH42" s="21">
        <v>4.3</v>
      </c>
      <c r="AI42" s="21">
        <v>4.7</v>
      </c>
      <c r="AJ42" s="21">
        <v>3.6</v>
      </c>
      <c r="AK42" s="73">
        <f>SUM(AG42:AJ42)</f>
        <v>14.700000000000001</v>
      </c>
      <c r="AM42" s="21">
        <v>3.6</v>
      </c>
      <c r="AN42" s="21">
        <v>9.4</v>
      </c>
      <c r="AO42" s="21">
        <v>5.9</v>
      </c>
      <c r="AP42" s="21">
        <v>6</v>
      </c>
      <c r="AQ42" s="73">
        <f>SUM(AM42:AP42)</f>
        <v>24.9</v>
      </c>
      <c r="AS42" s="21">
        <v>5.0999999999999996</v>
      </c>
      <c r="AT42" s="21">
        <v>9.3000000000000007</v>
      </c>
      <c r="AU42" s="21">
        <v>6.9</v>
      </c>
      <c r="AV42" s="21">
        <v>12.9</v>
      </c>
      <c r="AW42" s="73">
        <f>SUM(AS42:AV42)</f>
        <v>34.200000000000003</v>
      </c>
      <c r="AY42" s="21">
        <v>5.8</v>
      </c>
      <c r="AZ42" s="21">
        <v>9.8000000000000007</v>
      </c>
      <c r="BA42" s="21">
        <v>5.6</v>
      </c>
      <c r="BB42" s="21">
        <v>-4.2</v>
      </c>
      <c r="BC42" s="73">
        <f>SUM(AY42:BB42)</f>
        <v>17.000000000000004</v>
      </c>
      <c r="BE42" s="23">
        <v>0.1</v>
      </c>
      <c r="BF42" s="24">
        <v>4</v>
      </c>
      <c r="BG42" s="24">
        <v>2.9</v>
      </c>
      <c r="BH42" s="23">
        <v>3.2</v>
      </c>
      <c r="BI42" s="73">
        <f>SUM(BE42:BH42)</f>
        <v>10.199999999999999</v>
      </c>
      <c r="BK42" s="23">
        <v>2.7</v>
      </c>
      <c r="BL42" s="23">
        <v>4.0999999999999996</v>
      </c>
      <c r="BM42" s="24">
        <v>3.3</v>
      </c>
      <c r="BN42" s="23">
        <v>1.2</v>
      </c>
      <c r="BO42" s="73">
        <f>SUM(BK42:BN42)</f>
        <v>11.299999999999999</v>
      </c>
      <c r="BQ42" s="23">
        <v>2.1</v>
      </c>
      <c r="BR42" s="23">
        <v>1.3</v>
      </c>
      <c r="BS42" s="23">
        <v>1.8</v>
      </c>
      <c r="BT42" s="23">
        <v>0.1</v>
      </c>
      <c r="BU42" s="73">
        <f>SUM(BQ42:BT42)</f>
        <v>5.3</v>
      </c>
      <c r="BW42" s="23">
        <v>1.3</v>
      </c>
      <c r="BX42" s="23">
        <v>60.6</v>
      </c>
      <c r="BY42" s="23">
        <v>1.5</v>
      </c>
      <c r="BZ42" s="23">
        <v>4.0999999999999996</v>
      </c>
      <c r="CA42" s="73">
        <f>SUM(BW42:BZ42)</f>
        <v>67.5</v>
      </c>
      <c r="CC42" s="23">
        <v>1</v>
      </c>
      <c r="CD42" s="23">
        <v>3.2</v>
      </c>
      <c r="CE42" s="23">
        <v>2.2000000000000002</v>
      </c>
      <c r="CF42" s="23">
        <v>4.2</v>
      </c>
      <c r="CG42" s="73">
        <f>SUM(CC42:CF42)</f>
        <v>10.600000000000001</v>
      </c>
      <c r="CI42" s="23">
        <v>3.6</v>
      </c>
      <c r="CJ42" s="23">
        <v>2</v>
      </c>
      <c r="CK42" s="23">
        <v>2.5</v>
      </c>
      <c r="CL42" s="23">
        <v>3.6</v>
      </c>
      <c r="CM42" s="73">
        <f>SUM(CI42:CL42)</f>
        <v>11.7</v>
      </c>
      <c r="CO42" s="23">
        <v>3.8</v>
      </c>
      <c r="CP42" s="23">
        <v>-8.6</v>
      </c>
      <c r="CQ42" s="23"/>
      <c r="CR42" s="23"/>
      <c r="CS42" s="73">
        <f>SUM(CO42:CR42)</f>
        <v>-4.8</v>
      </c>
    </row>
    <row r="43" spans="1:97" ht="12.75" customHeight="1">
      <c r="A43" s="2" t="s">
        <v>20</v>
      </c>
      <c r="C43" s="21">
        <v>0</v>
      </c>
      <c r="D43" s="21">
        <v>104</v>
      </c>
      <c r="E43" s="21">
        <v>0</v>
      </c>
      <c r="F43" s="21">
        <v>0</v>
      </c>
      <c r="G43" s="73">
        <f>SUM(C43:F43)</f>
        <v>104</v>
      </c>
      <c r="H43" s="22"/>
      <c r="I43" s="21">
        <v>0</v>
      </c>
      <c r="J43" s="21">
        <v>4</v>
      </c>
      <c r="K43" s="21">
        <v>0</v>
      </c>
      <c r="L43" s="21">
        <v>0</v>
      </c>
      <c r="M43" s="73">
        <f>SUM(I43:L43)</f>
        <v>4</v>
      </c>
      <c r="O43" s="21">
        <v>0</v>
      </c>
      <c r="P43" s="21">
        <v>4</v>
      </c>
      <c r="Q43" s="21">
        <v>0</v>
      </c>
      <c r="R43" s="21">
        <v>0</v>
      </c>
      <c r="S43" s="73">
        <f>SUM(O43:R43)</f>
        <v>4</v>
      </c>
      <c r="U43" s="21">
        <v>0</v>
      </c>
      <c r="V43" s="21">
        <v>8</v>
      </c>
      <c r="W43" s="21">
        <v>0</v>
      </c>
      <c r="X43" s="21">
        <v>0</v>
      </c>
      <c r="Y43" s="73">
        <f>SUM(U43:X43)</f>
        <v>8</v>
      </c>
      <c r="AA43" s="21">
        <v>0</v>
      </c>
      <c r="AB43" s="21">
        <v>8</v>
      </c>
      <c r="AC43" s="21">
        <v>0</v>
      </c>
      <c r="AD43" s="21">
        <v>0</v>
      </c>
      <c r="AE43" s="73">
        <f>SUM(AA43:AD43)</f>
        <v>8</v>
      </c>
      <c r="AG43" s="21">
        <v>0</v>
      </c>
      <c r="AH43" s="21">
        <v>8</v>
      </c>
      <c r="AI43" s="21">
        <v>0</v>
      </c>
      <c r="AJ43" s="21">
        <v>0</v>
      </c>
      <c r="AK43" s="73">
        <f>SUM(AG43:AJ43)</f>
        <v>8</v>
      </c>
      <c r="AM43" s="21">
        <v>0</v>
      </c>
      <c r="AN43" s="21">
        <v>12</v>
      </c>
      <c r="AO43" s="21">
        <v>0</v>
      </c>
      <c r="AP43" s="21">
        <v>0</v>
      </c>
      <c r="AQ43" s="73">
        <f>SUM(AM43:AP43)</f>
        <v>12</v>
      </c>
      <c r="AS43" s="21">
        <v>0</v>
      </c>
      <c r="AT43" s="21">
        <v>10</v>
      </c>
      <c r="AU43" s="21">
        <v>0</v>
      </c>
      <c r="AV43" s="21">
        <v>0</v>
      </c>
      <c r="AW43" s="73">
        <f>SUM(AS43:AV43)</f>
        <v>10</v>
      </c>
      <c r="AY43" s="21">
        <v>0</v>
      </c>
      <c r="AZ43" s="21">
        <v>11</v>
      </c>
      <c r="BA43" s="21">
        <v>0</v>
      </c>
      <c r="BB43" s="21">
        <v>0</v>
      </c>
      <c r="BC43" s="73">
        <f>SUM(AY43:BB43)</f>
        <v>11</v>
      </c>
      <c r="BE43" s="23">
        <v>0</v>
      </c>
      <c r="BF43" s="24">
        <v>0</v>
      </c>
      <c r="BG43" s="24">
        <v>0</v>
      </c>
      <c r="BH43" s="24">
        <v>0</v>
      </c>
      <c r="BI43" s="73">
        <f>SUM(BE43:BH43)</f>
        <v>0</v>
      </c>
      <c r="BK43" s="23">
        <v>3.5</v>
      </c>
      <c r="BL43" s="23">
        <v>0</v>
      </c>
      <c r="BM43" s="23">
        <v>0</v>
      </c>
      <c r="BN43" s="24">
        <v>0</v>
      </c>
      <c r="BO43" s="73">
        <f>SUM(BK43:BN43)</f>
        <v>3.5</v>
      </c>
      <c r="BQ43" s="23">
        <v>2</v>
      </c>
      <c r="BR43" s="23">
        <v>0</v>
      </c>
      <c r="BS43" s="23">
        <v>0</v>
      </c>
      <c r="BT43" s="24">
        <v>0</v>
      </c>
      <c r="BU43" s="73">
        <f>SUM(BQ43:BT43)</f>
        <v>2</v>
      </c>
      <c r="BW43" s="23">
        <v>0</v>
      </c>
      <c r="BX43" s="23">
        <v>2</v>
      </c>
      <c r="BY43" s="23">
        <v>0</v>
      </c>
      <c r="BZ43" s="24">
        <v>0</v>
      </c>
      <c r="CA43" s="73">
        <f>SUM(BW43:BZ43)</f>
        <v>2</v>
      </c>
      <c r="CC43" s="23">
        <v>8</v>
      </c>
      <c r="CD43" s="23">
        <v>0</v>
      </c>
      <c r="CE43" s="23">
        <v>0</v>
      </c>
      <c r="CF43" s="24">
        <v>0</v>
      </c>
      <c r="CG43" s="73">
        <f>SUM(CC43:CF43)</f>
        <v>8</v>
      </c>
      <c r="CI43" s="23">
        <v>3.5</v>
      </c>
      <c r="CJ43" s="23">
        <v>0</v>
      </c>
      <c r="CK43" s="23">
        <v>0</v>
      </c>
      <c r="CL43" s="24">
        <v>0</v>
      </c>
      <c r="CM43" s="73">
        <f>SUM(CI43:CL43)</f>
        <v>3.5</v>
      </c>
      <c r="CO43" s="23">
        <v>4</v>
      </c>
      <c r="CP43" s="23">
        <v>0</v>
      </c>
      <c r="CQ43" s="23"/>
      <c r="CR43" s="24"/>
      <c r="CS43" s="73">
        <f>SUM(CO43:CR43)</f>
        <v>4</v>
      </c>
    </row>
    <row r="44" spans="1:97" ht="12.75" customHeight="1">
      <c r="A44" s="2" t="s">
        <v>19</v>
      </c>
      <c r="C44" s="2">
        <v>238</v>
      </c>
      <c r="D44" s="2">
        <v>156</v>
      </c>
      <c r="E44" s="2">
        <v>152</v>
      </c>
      <c r="F44" s="2">
        <v>151</v>
      </c>
      <c r="G44" s="69"/>
      <c r="I44" s="2">
        <v>150</v>
      </c>
      <c r="J44" s="2">
        <v>142</v>
      </c>
      <c r="K44" s="2">
        <v>142</v>
      </c>
      <c r="L44" s="2">
        <v>116</v>
      </c>
      <c r="M44" s="69"/>
      <c r="O44" s="2">
        <v>118</v>
      </c>
      <c r="P44" s="2">
        <v>114</v>
      </c>
      <c r="Q44" s="2">
        <v>115</v>
      </c>
      <c r="R44" s="2">
        <v>116</v>
      </c>
      <c r="S44" s="69"/>
      <c r="U44" s="2">
        <v>116</v>
      </c>
      <c r="V44" s="2">
        <v>110</v>
      </c>
      <c r="W44" s="2">
        <v>114</v>
      </c>
      <c r="X44" s="2">
        <v>117</v>
      </c>
      <c r="Y44" s="69"/>
      <c r="AA44" s="2">
        <v>111</v>
      </c>
      <c r="AB44" s="2">
        <v>101</v>
      </c>
      <c r="AC44" s="2">
        <v>106</v>
      </c>
      <c r="AD44" s="2">
        <v>109</v>
      </c>
      <c r="AE44" s="69"/>
      <c r="AG44" s="2">
        <v>112</v>
      </c>
      <c r="AH44" s="2">
        <v>111</v>
      </c>
      <c r="AI44" s="2">
        <v>110</v>
      </c>
      <c r="AJ44" s="2">
        <v>114</v>
      </c>
      <c r="AK44" s="69"/>
      <c r="AM44" s="2">
        <v>116</v>
      </c>
      <c r="AN44" s="2">
        <v>108</v>
      </c>
      <c r="AO44" s="2">
        <v>114</v>
      </c>
      <c r="AP44" s="2">
        <v>119</v>
      </c>
      <c r="AQ44" s="69"/>
      <c r="AS44" s="2">
        <v>123</v>
      </c>
      <c r="AT44" s="2">
        <v>121</v>
      </c>
      <c r="AU44" s="2">
        <v>126</v>
      </c>
      <c r="AV44" s="2">
        <v>137</v>
      </c>
      <c r="AW44" s="69"/>
      <c r="AY44" s="2">
        <v>142</v>
      </c>
      <c r="AZ44" s="2">
        <v>142</v>
      </c>
      <c r="BA44" s="2">
        <v>152</v>
      </c>
      <c r="BB44" s="2">
        <v>145</v>
      </c>
      <c r="BC44" s="69"/>
      <c r="BE44" s="3">
        <v>146</v>
      </c>
      <c r="BF44" s="25">
        <v>148</v>
      </c>
      <c r="BG44" s="3">
        <v>150</v>
      </c>
      <c r="BH44" s="26">
        <f>+BH28/BH41*1000</f>
        <v>156.80074205244961</v>
      </c>
      <c r="BI44" s="69"/>
      <c r="BK44" s="3">
        <v>161</v>
      </c>
      <c r="BL44" s="26">
        <f>+BL28/BL41*1000</f>
        <v>169.76998904709748</v>
      </c>
      <c r="BM44" s="26">
        <f>+BM28/Valuation!AX7*1000</f>
        <v>168.7164532352817</v>
      </c>
      <c r="BN44" s="26">
        <f>+BN28/Valuation!AY7*1000</f>
        <v>173.49224462195173</v>
      </c>
      <c r="BO44" s="69"/>
      <c r="BQ44" s="26">
        <f>+BQ28/Valuation!BA7*1000</f>
        <v>168.59284021836513</v>
      </c>
      <c r="BR44" s="26">
        <f>+BR28/Valuation!BB7*1000</f>
        <v>168.33925359482285</v>
      </c>
      <c r="BS44" s="26">
        <f>+BS28/Valuation!BC7*1000</f>
        <v>169.05774902819266</v>
      </c>
      <c r="BT44" s="26">
        <f>+BT28/Valuation!BD7*1000</f>
        <v>171.59361526361556</v>
      </c>
      <c r="BU44" s="69"/>
      <c r="BW44" s="26">
        <f>+BW28/Valuation!BF7*1000</f>
        <v>172.8643680381511</v>
      </c>
      <c r="BX44" s="26">
        <v>233</v>
      </c>
      <c r="BY44" s="26">
        <v>237</v>
      </c>
      <c r="BZ44" s="26">
        <v>241</v>
      </c>
      <c r="CA44" s="69"/>
      <c r="CC44" s="26">
        <f>+CC28/Valuation!BK7*1000</f>
        <v>233.55552760659037</v>
      </c>
      <c r="CD44" s="26">
        <f>+CD28/Valuation!BL7*1000</f>
        <v>234.89707793568942</v>
      </c>
      <c r="CE44" s="26">
        <f>+CE28/Valuation!BM7*1000</f>
        <v>235.23246551796421</v>
      </c>
      <c r="CF44" s="26">
        <f>+CF28/Valuation!BN7*1000</f>
        <v>237.58017859388755</v>
      </c>
      <c r="CG44" s="69"/>
      <c r="CI44" s="26">
        <f>+CI28/Valuation!BP7*1000</f>
        <v>234.73194450266169</v>
      </c>
      <c r="CJ44" s="26">
        <f>+CJ28/Valuation!BQ7*1000</f>
        <v>238.29484008886283</v>
      </c>
      <c r="CK44" s="26">
        <f>+CK28/Valuation!BR7*1000</f>
        <v>247.85178354361403</v>
      </c>
      <c r="CL44" s="26">
        <f>+CL28/Valuation!BS7*1000</f>
        <v>250.19910298864067</v>
      </c>
      <c r="CM44" s="69"/>
      <c r="CO44" s="26">
        <f>+CO28/Valuation!BU7*1000</f>
        <v>261.72798539964327</v>
      </c>
      <c r="CP44" s="26">
        <f>+CP28/Valuation!BV7*1000</f>
        <v>247.99867269484423</v>
      </c>
      <c r="CQ44" s="26"/>
      <c r="CR44" s="26"/>
      <c r="CS44" s="69"/>
    </row>
    <row r="45" spans="1:97" s="67" customFormat="1" ht="12.75" customHeight="1" thickBot="1">
      <c r="A45" s="67" t="s">
        <v>18</v>
      </c>
      <c r="B45" s="68"/>
      <c r="C45" s="67">
        <v>252</v>
      </c>
      <c r="D45" s="67">
        <v>119</v>
      </c>
      <c r="E45" s="67">
        <v>103</v>
      </c>
      <c r="F45" s="67">
        <v>105</v>
      </c>
      <c r="G45" s="105"/>
      <c r="H45" s="66"/>
      <c r="I45" s="67">
        <v>95</v>
      </c>
      <c r="J45" s="67">
        <v>85</v>
      </c>
      <c r="K45" s="67">
        <v>57</v>
      </c>
      <c r="L45" s="67">
        <v>74</v>
      </c>
      <c r="M45" s="105"/>
      <c r="O45" s="67">
        <v>76</v>
      </c>
      <c r="P45" s="67">
        <v>90</v>
      </c>
      <c r="Q45" s="67">
        <v>106</v>
      </c>
      <c r="R45" s="67">
        <v>108</v>
      </c>
      <c r="S45" s="105"/>
      <c r="U45" s="67">
        <v>118</v>
      </c>
      <c r="V45" s="67">
        <v>125</v>
      </c>
      <c r="W45" s="67">
        <v>137</v>
      </c>
      <c r="X45" s="67">
        <v>159</v>
      </c>
      <c r="Y45" s="105"/>
      <c r="AA45" s="67">
        <v>118</v>
      </c>
      <c r="AB45" s="67">
        <v>125</v>
      </c>
      <c r="AC45" s="67">
        <v>137</v>
      </c>
      <c r="AD45" s="67">
        <v>159</v>
      </c>
      <c r="AE45" s="105"/>
      <c r="AG45" s="67">
        <v>198</v>
      </c>
      <c r="AH45" s="67">
        <v>229</v>
      </c>
      <c r="AI45" s="67">
        <v>262</v>
      </c>
      <c r="AJ45" s="67">
        <v>289</v>
      </c>
      <c r="AK45" s="105"/>
      <c r="AM45" s="67">
        <v>389</v>
      </c>
      <c r="AN45" s="67">
        <v>366</v>
      </c>
      <c r="AO45" s="67">
        <v>442</v>
      </c>
      <c r="AP45" s="67">
        <v>503</v>
      </c>
      <c r="AQ45" s="105"/>
      <c r="AS45" s="67">
        <v>449</v>
      </c>
      <c r="AT45" s="67">
        <v>549</v>
      </c>
      <c r="AU45" s="67">
        <v>586</v>
      </c>
      <c r="AV45" s="67">
        <v>459</v>
      </c>
      <c r="AW45" s="105"/>
      <c r="AY45" s="67">
        <v>340</v>
      </c>
      <c r="AZ45" s="67">
        <v>383</v>
      </c>
      <c r="BA45" s="67">
        <v>245</v>
      </c>
      <c r="BB45" s="67">
        <v>106</v>
      </c>
      <c r="BC45" s="105"/>
      <c r="BE45" s="106">
        <v>97</v>
      </c>
      <c r="BF45" s="107">
        <v>179</v>
      </c>
      <c r="BG45" s="106">
        <v>297</v>
      </c>
      <c r="BH45" s="68">
        <v>291</v>
      </c>
      <c r="BI45" s="105"/>
      <c r="BK45" s="106">
        <v>305</v>
      </c>
      <c r="BL45" s="108">
        <v>274</v>
      </c>
      <c r="BM45" s="106">
        <v>270</v>
      </c>
      <c r="BN45" s="68">
        <v>297</v>
      </c>
      <c r="BO45" s="105"/>
      <c r="BQ45" s="107">
        <f>+Valuation!BA9</f>
        <v>309</v>
      </c>
      <c r="BR45" s="107">
        <f>+Valuation!BB9</f>
        <v>329</v>
      </c>
      <c r="BS45" s="107">
        <f>+Valuation!BC9</f>
        <v>202</v>
      </c>
      <c r="BT45" s="107">
        <f>+Valuation!BD9</f>
        <v>191</v>
      </c>
      <c r="BU45" s="105"/>
      <c r="BW45" s="107">
        <f>+Valuation!BF9</f>
        <v>254</v>
      </c>
      <c r="BX45" s="107">
        <v>190</v>
      </c>
      <c r="BY45" s="107">
        <v>202</v>
      </c>
      <c r="BZ45" s="107">
        <v>204</v>
      </c>
      <c r="CA45" s="105"/>
      <c r="CC45" s="107">
        <f>+Valuation!BK9</f>
        <v>216</v>
      </c>
      <c r="CD45" s="107">
        <f>+Valuation!BL9</f>
        <v>208</v>
      </c>
      <c r="CE45" s="108">
        <f>+Valuation!BM9</f>
        <v>274</v>
      </c>
      <c r="CF45" s="108">
        <f>+Valuation!BN9</f>
        <v>268</v>
      </c>
      <c r="CG45" s="109"/>
      <c r="CI45" s="107">
        <f>+Valuation!BP9</f>
        <v>314</v>
      </c>
      <c r="CJ45" s="107">
        <f>+Valuation!BQ9</f>
        <v>374</v>
      </c>
      <c r="CK45" s="108">
        <v>325</v>
      </c>
      <c r="CL45" s="108">
        <v>332</v>
      </c>
      <c r="CM45" s="105"/>
      <c r="CO45" s="107">
        <f>+Valuation!BU9</f>
        <v>445</v>
      </c>
      <c r="CP45" s="107">
        <f>+Valuation!BV9</f>
        <v>384</v>
      </c>
      <c r="CQ45" s="108"/>
      <c r="CR45" s="108"/>
      <c r="CS45" s="105"/>
    </row>
    <row r="46" spans="1:97">
      <c r="BG46" s="28"/>
      <c r="BH46" s="28"/>
      <c r="BK46" s="28"/>
      <c r="BL46" s="28"/>
    </row>
    <row r="47" spans="1:97">
      <c r="AN47" s="9"/>
      <c r="AT47" s="9"/>
      <c r="AY47" s="9"/>
      <c r="AZ47" s="9"/>
      <c r="BA47" s="9"/>
      <c r="BB47" s="9"/>
      <c r="BE47" s="9"/>
      <c r="BF47" s="9"/>
      <c r="BG47" s="28"/>
      <c r="BH47" s="28"/>
      <c r="BK47" s="28"/>
      <c r="BL47" s="28"/>
      <c r="BM47" s="28"/>
      <c r="BN47" s="9"/>
    </row>
    <row r="48" spans="1:97">
      <c r="AT48" s="9"/>
      <c r="AY48" s="29"/>
      <c r="AZ48" s="29"/>
      <c r="BA48" s="29"/>
      <c r="BB48" s="29"/>
      <c r="BE48" s="29"/>
      <c r="BF48" s="29"/>
      <c r="BG48" s="29"/>
      <c r="BH48" s="29"/>
      <c r="BK48" s="30"/>
      <c r="BL48" s="30"/>
      <c r="BM48" s="30"/>
      <c r="BN48" s="29"/>
    </row>
    <row r="49" spans="16:52">
      <c r="AN49" s="21"/>
      <c r="AT49" s="21"/>
      <c r="AZ49" s="21"/>
    </row>
    <row r="61" spans="16:52">
      <c r="P61" s="33"/>
      <c r="Q61" s="33"/>
      <c r="R61" s="33"/>
      <c r="S61" s="44"/>
    </row>
    <row r="62" spans="16:52">
      <c r="P62" s="33"/>
      <c r="Q62" s="33"/>
      <c r="R62" s="33"/>
      <c r="S62" s="44"/>
    </row>
    <row r="63" spans="16:52">
      <c r="P63" s="33"/>
      <c r="Q63" s="33"/>
      <c r="R63" s="33"/>
      <c r="S63" s="44"/>
    </row>
    <row r="64" spans="16:52">
      <c r="P64" s="33"/>
      <c r="Q64" s="86"/>
      <c r="R64" s="33"/>
      <c r="S64" s="44"/>
      <c r="U64" s="33"/>
    </row>
    <row r="65" spans="16:19">
      <c r="P65" s="33"/>
      <c r="Q65" s="33"/>
      <c r="R65" s="33"/>
      <c r="S65" s="44"/>
    </row>
    <row r="66" spans="16:19">
      <c r="P66" s="33"/>
      <c r="Q66" s="33"/>
      <c r="R66" s="33"/>
      <c r="S66" s="44"/>
    </row>
    <row r="67" spans="16:19">
      <c r="P67" s="33"/>
      <c r="Q67" s="33"/>
      <c r="R67" s="33"/>
      <c r="S67" s="44"/>
    </row>
    <row r="68" spans="16:19">
      <c r="Q68" s="33"/>
    </row>
  </sheetData>
  <mergeCells count="32">
    <mergeCell ref="CI1:CM1"/>
    <mergeCell ref="CI2:CM2"/>
    <mergeCell ref="CC1:CG1"/>
    <mergeCell ref="CC2:CG2"/>
    <mergeCell ref="BW1:CA1"/>
    <mergeCell ref="BW2:CA2"/>
    <mergeCell ref="BQ1:BU1"/>
    <mergeCell ref="BQ2:BU2"/>
    <mergeCell ref="BK1:BO1"/>
    <mergeCell ref="BK2:BO2"/>
    <mergeCell ref="BE1:BI1"/>
    <mergeCell ref="AM2:AQ2"/>
    <mergeCell ref="AS1:AW1"/>
    <mergeCell ref="AY2:BC2"/>
    <mergeCell ref="BE2:BI2"/>
    <mergeCell ref="AY1:BC1"/>
    <mergeCell ref="CO1:CS1"/>
    <mergeCell ref="CO2:CS2"/>
    <mergeCell ref="C1:G1"/>
    <mergeCell ref="AG2:AK2"/>
    <mergeCell ref="C2:G2"/>
    <mergeCell ref="I2:M2"/>
    <mergeCell ref="U1:Y1"/>
    <mergeCell ref="AG1:AK1"/>
    <mergeCell ref="AA2:AE2"/>
    <mergeCell ref="AA1:AE1"/>
    <mergeCell ref="I1:M1"/>
    <mergeCell ref="O1:S1"/>
    <mergeCell ref="AS2:AW2"/>
    <mergeCell ref="AM1:AQ1"/>
    <mergeCell ref="O2:S2"/>
    <mergeCell ref="U2:Y2"/>
  </mergeCells>
  <phoneticPr fontId="0" type="noConversion"/>
  <pageMargins left="0.35433070866141736" right="0.31496062992125984" top="0.70866141732283472" bottom="0.23622047244094491" header="0.23622047244094491" footer="0.19685039370078741"/>
  <pageSetup paperSize="9" scale="72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CC42"/>
  <sheetViews>
    <sheetView showGridLines="0" zoomScaleNormal="100" zoomScaleSheetLayoutView="85" workbookViewId="0">
      <pane xSplit="1" ySplit="3" topLeftCell="BI13" activePane="bottomRight" state="frozen"/>
      <selection activeCell="C28" sqref="C28"/>
      <selection pane="topRight" activeCell="C28" sqref="C28"/>
      <selection pane="bottomLeft" activeCell="C28" sqref="C28"/>
      <selection pane="bottomRight" activeCell="BP45" sqref="BP45"/>
    </sheetView>
  </sheetViews>
  <sheetFormatPr defaultColWidth="9.140625" defaultRowHeight="12.75"/>
  <cols>
    <col min="1" max="1" width="36.42578125" style="2" customWidth="1"/>
    <col min="2" max="2" width="4.7109375" style="3" customWidth="1"/>
    <col min="3" max="6" width="8.7109375" style="2" customWidth="1"/>
    <col min="7" max="7" width="4.7109375" style="4" customWidth="1"/>
    <col min="8" max="11" width="8.7109375" style="2" customWidth="1"/>
    <col min="12" max="12" width="4.7109375" style="6" customWidth="1"/>
    <col min="13" max="16" width="8.7109375" style="2" customWidth="1"/>
    <col min="17" max="17" width="4.7109375" style="6" customWidth="1"/>
    <col min="18" max="21" width="8.7109375" style="2" customWidth="1"/>
    <col min="22" max="22" width="4.7109375" style="6" customWidth="1"/>
    <col min="23" max="26" width="8.7109375" style="2" customWidth="1"/>
    <col min="27" max="27" width="4.7109375" style="6" customWidth="1"/>
    <col min="28" max="31" width="8.7109375" style="2" customWidth="1"/>
    <col min="32" max="32" width="4.7109375" style="6" customWidth="1"/>
    <col min="33" max="36" width="8.7109375" style="2" customWidth="1"/>
    <col min="37" max="37" width="4.7109375" style="6" customWidth="1"/>
    <col min="38" max="41" width="8.7109375" style="2" customWidth="1"/>
    <col min="42" max="42" width="4.7109375" style="6" customWidth="1"/>
    <col min="43" max="46" width="8.7109375" style="2" customWidth="1"/>
    <col min="47" max="47" width="4.7109375" style="6" customWidth="1"/>
    <col min="48" max="51" width="8.7109375" style="2" customWidth="1"/>
    <col min="52" max="52" width="4.7109375" style="2" customWidth="1"/>
    <col min="53" max="56" width="8.7109375" style="2" customWidth="1"/>
    <col min="57" max="57" width="4.7109375" style="2" customWidth="1"/>
    <col min="58" max="61" width="8.7109375" style="2" customWidth="1"/>
    <col min="62" max="62" width="4.7109375" style="2" customWidth="1"/>
    <col min="63" max="66" width="8.7109375" style="2" customWidth="1"/>
    <col min="67" max="67" width="4.7109375" style="2" customWidth="1"/>
    <col min="68" max="71" width="8.7109375" style="2" customWidth="1"/>
    <col min="72" max="72" width="4.7109375" style="2" customWidth="1"/>
    <col min="73" max="76" width="8.7109375" style="2" customWidth="1"/>
    <col min="77" max="77" width="4.7109375" style="2" customWidth="1"/>
    <col min="78" max="81" width="8.7109375" style="2" customWidth="1"/>
    <col min="82" max="82" width="4.7109375" style="2" customWidth="1"/>
    <col min="83" max="16384" width="9.140625" style="2"/>
  </cols>
  <sheetData>
    <row r="1" spans="1:81">
      <c r="C1" s="207" t="s">
        <v>126</v>
      </c>
      <c r="D1" s="207"/>
      <c r="E1" s="207"/>
      <c r="F1" s="207"/>
      <c r="G1" s="207"/>
      <c r="H1" s="207" t="s">
        <v>126</v>
      </c>
      <c r="I1" s="207"/>
      <c r="J1" s="207"/>
      <c r="K1" s="207"/>
      <c r="L1" s="207"/>
      <c r="M1" s="207" t="s">
        <v>126</v>
      </c>
      <c r="N1" s="207"/>
      <c r="O1" s="207"/>
      <c r="P1" s="207"/>
      <c r="Q1" s="207"/>
      <c r="R1" s="207" t="s">
        <v>126</v>
      </c>
      <c r="S1" s="207"/>
      <c r="T1" s="207"/>
      <c r="U1" s="207"/>
      <c r="V1" s="207"/>
      <c r="W1" s="207" t="s">
        <v>104</v>
      </c>
      <c r="X1" s="207"/>
      <c r="Y1" s="207"/>
      <c r="Z1" s="207"/>
      <c r="AA1" s="31"/>
      <c r="AB1" s="207" t="s">
        <v>104</v>
      </c>
      <c r="AC1" s="207"/>
      <c r="AD1" s="207"/>
      <c r="AE1" s="207"/>
      <c r="AF1" s="31"/>
      <c r="AG1" s="207" t="s">
        <v>104</v>
      </c>
      <c r="AH1" s="207"/>
      <c r="AI1" s="207"/>
      <c r="AJ1" s="207"/>
      <c r="AK1" s="31"/>
      <c r="AL1" s="207" t="s">
        <v>104</v>
      </c>
      <c r="AM1" s="207"/>
      <c r="AN1" s="207"/>
      <c r="AO1" s="207"/>
      <c r="AP1" s="31"/>
      <c r="AQ1" s="207" t="s">
        <v>104</v>
      </c>
      <c r="AR1" s="207"/>
      <c r="AS1" s="207"/>
      <c r="AT1" s="207"/>
      <c r="AU1" s="31"/>
      <c r="AV1" s="207" t="s">
        <v>104</v>
      </c>
      <c r="AW1" s="207"/>
      <c r="AX1" s="207"/>
      <c r="AY1" s="207"/>
      <c r="BA1" s="207" t="s">
        <v>104</v>
      </c>
      <c r="BB1" s="207"/>
      <c r="BC1" s="207"/>
      <c r="BD1" s="207"/>
      <c r="BF1" s="207" t="s">
        <v>104</v>
      </c>
      <c r="BG1" s="207"/>
      <c r="BH1" s="207"/>
      <c r="BI1" s="207"/>
      <c r="BK1" s="207" t="s">
        <v>104</v>
      </c>
      <c r="BL1" s="207"/>
      <c r="BM1" s="207"/>
      <c r="BN1" s="207"/>
      <c r="BP1" s="207" t="s">
        <v>104</v>
      </c>
      <c r="BQ1" s="207"/>
      <c r="BR1" s="207"/>
      <c r="BS1" s="207"/>
      <c r="BU1" s="207" t="s">
        <v>104</v>
      </c>
      <c r="BV1" s="207"/>
      <c r="BW1" s="207"/>
      <c r="BX1" s="207"/>
      <c r="BZ1" s="207" t="s">
        <v>104</v>
      </c>
      <c r="CA1" s="207"/>
      <c r="CB1" s="207"/>
      <c r="CC1" s="207"/>
    </row>
    <row r="2" spans="1:81">
      <c r="A2" s="1" t="s">
        <v>40</v>
      </c>
      <c r="B2" s="5"/>
      <c r="C2" s="208">
        <v>2001</v>
      </c>
      <c r="D2" s="208"/>
      <c r="E2" s="208"/>
      <c r="F2" s="208"/>
      <c r="H2" s="208">
        <v>2002</v>
      </c>
      <c r="I2" s="208"/>
      <c r="J2" s="208"/>
      <c r="K2" s="208"/>
      <c r="L2" s="32"/>
      <c r="M2" s="208">
        <v>2003</v>
      </c>
      <c r="N2" s="208"/>
      <c r="O2" s="208"/>
      <c r="P2" s="208"/>
      <c r="Q2" s="32"/>
      <c r="R2" s="208">
        <v>2004</v>
      </c>
      <c r="S2" s="208"/>
      <c r="T2" s="208"/>
      <c r="U2" s="208"/>
      <c r="V2" s="32"/>
      <c r="W2" s="208">
        <v>2004</v>
      </c>
      <c r="X2" s="208"/>
      <c r="Y2" s="208"/>
      <c r="Z2" s="208"/>
      <c r="AA2" s="32"/>
      <c r="AB2" s="208">
        <v>2005</v>
      </c>
      <c r="AC2" s="208"/>
      <c r="AD2" s="208"/>
      <c r="AE2" s="208"/>
      <c r="AF2" s="32"/>
      <c r="AG2" s="208">
        <v>2006</v>
      </c>
      <c r="AH2" s="208"/>
      <c r="AI2" s="208"/>
      <c r="AJ2" s="208"/>
      <c r="AK2" s="32"/>
      <c r="AL2" s="208">
        <v>2007</v>
      </c>
      <c r="AM2" s="208"/>
      <c r="AN2" s="208"/>
      <c r="AO2" s="208"/>
      <c r="AP2" s="32"/>
      <c r="AQ2" s="208">
        <v>2008</v>
      </c>
      <c r="AR2" s="208"/>
      <c r="AS2" s="208"/>
      <c r="AT2" s="208"/>
      <c r="AU2" s="32"/>
      <c r="AV2" s="208">
        <v>2009</v>
      </c>
      <c r="AW2" s="208"/>
      <c r="AX2" s="208"/>
      <c r="AY2" s="208"/>
      <c r="BA2" s="208">
        <v>2010</v>
      </c>
      <c r="BB2" s="208"/>
      <c r="BC2" s="208"/>
      <c r="BD2" s="208"/>
      <c r="BF2" s="208">
        <v>2011</v>
      </c>
      <c r="BG2" s="208"/>
      <c r="BH2" s="208"/>
      <c r="BI2" s="208"/>
      <c r="BK2" s="208">
        <v>2012</v>
      </c>
      <c r="BL2" s="208"/>
      <c r="BM2" s="208"/>
      <c r="BN2" s="208"/>
      <c r="BP2" s="208">
        <v>2013</v>
      </c>
      <c r="BQ2" s="208"/>
      <c r="BR2" s="208"/>
      <c r="BS2" s="208"/>
      <c r="BU2" s="208">
        <v>2014</v>
      </c>
      <c r="BV2" s="208"/>
      <c r="BW2" s="208"/>
      <c r="BX2" s="208"/>
      <c r="BZ2" s="208">
        <v>2015</v>
      </c>
      <c r="CA2" s="208"/>
      <c r="CB2" s="208"/>
      <c r="CC2" s="208"/>
    </row>
    <row r="3" spans="1:81" s="85" customFormat="1" ht="13.5" thickBot="1">
      <c r="A3" s="82" t="s">
        <v>184</v>
      </c>
      <c r="B3" s="83"/>
      <c r="C3" s="84" t="s">
        <v>10</v>
      </c>
      <c r="D3" s="84" t="s">
        <v>11</v>
      </c>
      <c r="E3" s="84" t="s">
        <v>12</v>
      </c>
      <c r="F3" s="84" t="s">
        <v>13</v>
      </c>
      <c r="G3" s="84"/>
      <c r="H3" s="84" t="s">
        <v>10</v>
      </c>
      <c r="I3" s="84" t="s">
        <v>11</v>
      </c>
      <c r="J3" s="84" t="s">
        <v>12</v>
      </c>
      <c r="K3" s="84" t="s">
        <v>13</v>
      </c>
      <c r="L3" s="84"/>
      <c r="M3" s="84" t="s">
        <v>10</v>
      </c>
      <c r="N3" s="84" t="s">
        <v>11</v>
      </c>
      <c r="O3" s="84" t="s">
        <v>12</v>
      </c>
      <c r="P3" s="84" t="s">
        <v>13</v>
      </c>
      <c r="Q3" s="84"/>
      <c r="R3" s="84" t="s">
        <v>10</v>
      </c>
      <c r="S3" s="84" t="s">
        <v>11</v>
      </c>
      <c r="T3" s="84" t="s">
        <v>12</v>
      </c>
      <c r="U3" s="84" t="s">
        <v>13</v>
      </c>
      <c r="V3" s="84"/>
      <c r="W3" s="84" t="s">
        <v>10</v>
      </c>
      <c r="X3" s="84" t="s">
        <v>11</v>
      </c>
      <c r="Y3" s="84" t="s">
        <v>12</v>
      </c>
      <c r="Z3" s="84" t="s">
        <v>13</v>
      </c>
      <c r="AA3" s="84"/>
      <c r="AB3" s="84" t="s">
        <v>10</v>
      </c>
      <c r="AC3" s="84" t="s">
        <v>11</v>
      </c>
      <c r="AD3" s="84" t="s">
        <v>12</v>
      </c>
      <c r="AE3" s="84" t="s">
        <v>13</v>
      </c>
      <c r="AF3" s="84"/>
      <c r="AG3" s="84" t="s">
        <v>10</v>
      </c>
      <c r="AH3" s="84" t="s">
        <v>11</v>
      </c>
      <c r="AI3" s="84" t="s">
        <v>12</v>
      </c>
      <c r="AJ3" s="84" t="s">
        <v>13</v>
      </c>
      <c r="AK3" s="84"/>
      <c r="AL3" s="84" t="s">
        <v>10</v>
      </c>
      <c r="AM3" s="84" t="s">
        <v>11</v>
      </c>
      <c r="AN3" s="84" t="s">
        <v>12</v>
      </c>
      <c r="AO3" s="84" t="s">
        <v>13</v>
      </c>
      <c r="AP3" s="84"/>
      <c r="AQ3" s="84" t="s">
        <v>10</v>
      </c>
      <c r="AR3" s="84" t="s">
        <v>11</v>
      </c>
      <c r="AS3" s="84" t="s">
        <v>12</v>
      </c>
      <c r="AT3" s="84" t="s">
        <v>13</v>
      </c>
      <c r="AU3" s="84"/>
      <c r="AV3" s="84" t="s">
        <v>10</v>
      </c>
      <c r="AW3" s="84" t="s">
        <v>11</v>
      </c>
      <c r="AX3" s="84" t="s">
        <v>12</v>
      </c>
      <c r="AY3" s="84" t="s">
        <v>13</v>
      </c>
      <c r="BA3" s="84" t="s">
        <v>10</v>
      </c>
      <c r="BB3" s="84" t="s">
        <v>11</v>
      </c>
      <c r="BC3" s="84" t="s">
        <v>12</v>
      </c>
      <c r="BD3" s="84" t="s">
        <v>13</v>
      </c>
      <c r="BF3" s="84" t="s">
        <v>10</v>
      </c>
      <c r="BG3" s="84" t="s">
        <v>11</v>
      </c>
      <c r="BH3" s="84" t="s">
        <v>12</v>
      </c>
      <c r="BI3" s="84" t="s">
        <v>13</v>
      </c>
      <c r="BK3" s="84" t="s">
        <v>10</v>
      </c>
      <c r="BL3" s="84" t="s">
        <v>11</v>
      </c>
      <c r="BM3" s="84" t="s">
        <v>12</v>
      </c>
      <c r="BN3" s="84" t="s">
        <v>13</v>
      </c>
      <c r="BP3" s="84" t="s">
        <v>10</v>
      </c>
      <c r="BQ3" s="84" t="s">
        <v>11</v>
      </c>
      <c r="BR3" s="84" t="s">
        <v>12</v>
      </c>
      <c r="BS3" s="84" t="s">
        <v>13</v>
      </c>
      <c r="BU3" s="84" t="s">
        <v>10</v>
      </c>
      <c r="BV3" s="84" t="s">
        <v>11</v>
      </c>
      <c r="BW3" s="84" t="s">
        <v>12</v>
      </c>
      <c r="BX3" s="84" t="s">
        <v>13</v>
      </c>
      <c r="BZ3" s="84" t="s">
        <v>10</v>
      </c>
      <c r="CA3" s="84" t="s">
        <v>11</v>
      </c>
      <c r="CB3" s="84" t="s">
        <v>12</v>
      </c>
      <c r="CC3" s="84" t="s">
        <v>13</v>
      </c>
    </row>
    <row r="4" spans="1:81" ht="13.5" thickTop="1">
      <c r="D4" s="123"/>
      <c r="F4" s="123"/>
      <c r="I4" s="123"/>
      <c r="K4" s="123"/>
      <c r="N4" s="123"/>
      <c r="P4" s="123"/>
      <c r="S4" s="123"/>
      <c r="U4" s="123"/>
      <c r="X4" s="123"/>
      <c r="Z4" s="123"/>
      <c r="AC4" s="123"/>
      <c r="AE4" s="123"/>
      <c r="AH4" s="123"/>
      <c r="AJ4" s="123"/>
      <c r="AM4" s="123"/>
      <c r="AO4" s="123"/>
      <c r="AR4" s="123"/>
      <c r="AT4" s="123"/>
      <c r="AW4" s="123"/>
      <c r="AY4" s="123"/>
      <c r="BB4" s="123"/>
      <c r="BD4" s="123"/>
      <c r="BG4" s="123"/>
      <c r="BI4" s="123"/>
      <c r="BL4" s="123"/>
      <c r="BN4" s="123"/>
      <c r="BQ4" s="123"/>
      <c r="BS4" s="123"/>
      <c r="BV4" s="123"/>
      <c r="BX4" s="123"/>
      <c r="CA4" s="123"/>
    </row>
    <row r="5" spans="1:81">
      <c r="A5" s="6" t="s">
        <v>22</v>
      </c>
      <c r="D5" s="123"/>
      <c r="F5" s="123"/>
      <c r="I5" s="123"/>
      <c r="K5" s="123"/>
      <c r="N5" s="123"/>
      <c r="P5" s="123"/>
      <c r="S5" s="123"/>
      <c r="U5" s="123"/>
      <c r="X5" s="123"/>
      <c r="Z5" s="123"/>
      <c r="AC5" s="123"/>
      <c r="AE5" s="123"/>
      <c r="AH5" s="123"/>
      <c r="AJ5" s="123"/>
      <c r="AM5" s="123"/>
      <c r="AO5" s="123"/>
      <c r="AR5" s="123"/>
      <c r="AT5" s="123"/>
      <c r="AW5" s="123"/>
      <c r="AY5" s="123"/>
      <c r="BB5" s="123"/>
      <c r="BD5" s="123"/>
      <c r="BG5" s="123"/>
      <c r="BI5" s="123"/>
      <c r="BL5" s="123"/>
      <c r="BN5" s="123"/>
      <c r="BQ5" s="123"/>
      <c r="BS5" s="123"/>
      <c r="BV5" s="123"/>
      <c r="BX5" s="123"/>
      <c r="CA5" s="123"/>
    </row>
    <row r="6" spans="1:81">
      <c r="A6" s="2" t="s">
        <v>108</v>
      </c>
      <c r="C6" s="9">
        <v>844</v>
      </c>
      <c r="D6" s="74">
        <v>879</v>
      </c>
      <c r="E6" s="9">
        <v>816</v>
      </c>
      <c r="F6" s="74">
        <v>821</v>
      </c>
      <c r="G6" s="8"/>
      <c r="H6" s="9">
        <v>838</v>
      </c>
      <c r="I6" s="74">
        <v>778</v>
      </c>
      <c r="J6" s="9">
        <v>785</v>
      </c>
      <c r="K6" s="74">
        <v>706</v>
      </c>
      <c r="M6" s="9">
        <v>686</v>
      </c>
      <c r="N6" s="74">
        <v>661</v>
      </c>
      <c r="O6" s="9">
        <v>659</v>
      </c>
      <c r="P6" s="74">
        <v>651</v>
      </c>
      <c r="R6" s="9">
        <v>683</v>
      </c>
      <c r="S6" s="74">
        <v>1125</v>
      </c>
      <c r="T6" s="9">
        <v>1124</v>
      </c>
      <c r="U6" s="74">
        <v>1040</v>
      </c>
      <c r="W6" s="9">
        <v>681</v>
      </c>
      <c r="X6" s="74">
        <v>963</v>
      </c>
      <c r="Y6" s="9">
        <v>984</v>
      </c>
      <c r="Z6" s="74">
        <v>928</v>
      </c>
      <c r="AB6" s="9">
        <v>1006</v>
      </c>
      <c r="AC6" s="74">
        <v>1037</v>
      </c>
      <c r="AD6" s="9">
        <v>1043</v>
      </c>
      <c r="AE6" s="74">
        <v>1011</v>
      </c>
      <c r="AG6" s="9">
        <v>1013</v>
      </c>
      <c r="AH6" s="74">
        <v>989</v>
      </c>
      <c r="AI6" s="9">
        <v>995</v>
      </c>
      <c r="AJ6" s="74">
        <v>820</v>
      </c>
      <c r="AL6" s="9">
        <v>1165</v>
      </c>
      <c r="AM6" s="74">
        <v>1234</v>
      </c>
      <c r="AN6" s="9">
        <v>1331</v>
      </c>
      <c r="AO6" s="74">
        <v>1387</v>
      </c>
      <c r="AQ6" s="9">
        <v>1432</v>
      </c>
      <c r="AR6" s="74">
        <v>1506</v>
      </c>
      <c r="AS6" s="9">
        <v>1585</v>
      </c>
      <c r="AT6" s="74">
        <v>1585</v>
      </c>
      <c r="AV6" s="9">
        <v>1642</v>
      </c>
      <c r="AW6" s="74">
        <v>1605</v>
      </c>
      <c r="AX6" s="9">
        <v>1591</v>
      </c>
      <c r="AY6" s="74">
        <v>1621</v>
      </c>
      <c r="BA6" s="9">
        <v>1681</v>
      </c>
      <c r="BB6" s="74">
        <v>1806</v>
      </c>
      <c r="BC6" s="9">
        <v>1714</v>
      </c>
      <c r="BD6" s="74">
        <v>1767</v>
      </c>
      <c r="BF6" s="9">
        <v>1803</v>
      </c>
      <c r="BG6" s="74">
        <v>1811</v>
      </c>
      <c r="BH6" s="9">
        <v>1911</v>
      </c>
      <c r="BI6" s="74">
        <v>1988</v>
      </c>
      <c r="BK6" s="9">
        <v>1963</v>
      </c>
      <c r="BL6" s="74">
        <v>2029</v>
      </c>
      <c r="BM6" s="9">
        <v>2020</v>
      </c>
      <c r="BN6" s="74">
        <v>2008</v>
      </c>
      <c r="BP6" s="9">
        <v>2037</v>
      </c>
      <c r="BQ6" s="74">
        <v>2017</v>
      </c>
      <c r="BR6" s="9">
        <v>2014</v>
      </c>
      <c r="BS6" s="74">
        <v>2001</v>
      </c>
      <c r="BU6" s="9">
        <v>2020</v>
      </c>
      <c r="BV6" s="74">
        <v>2038</v>
      </c>
      <c r="BW6" s="9">
        <v>2132</v>
      </c>
      <c r="BX6" s="74">
        <v>2175</v>
      </c>
      <c r="BZ6" s="9">
        <v>2321</v>
      </c>
      <c r="CA6" s="74">
        <v>2400</v>
      </c>
      <c r="CB6" s="9"/>
      <c r="CC6" s="9"/>
    </row>
    <row r="7" spans="1:81">
      <c r="A7" s="2" t="s">
        <v>109</v>
      </c>
      <c r="C7" s="9">
        <v>2130</v>
      </c>
      <c r="D7" s="74">
        <v>2136</v>
      </c>
      <c r="E7" s="9">
        <v>2046</v>
      </c>
      <c r="F7" s="74">
        <v>2056</v>
      </c>
      <c r="G7" s="8"/>
      <c r="H7" s="9">
        <v>1977</v>
      </c>
      <c r="I7" s="74">
        <v>1914</v>
      </c>
      <c r="J7" s="9">
        <v>1844</v>
      </c>
      <c r="K7" s="74">
        <v>1137</v>
      </c>
      <c r="M7" s="9">
        <v>1108</v>
      </c>
      <c r="N7" s="74">
        <v>1087</v>
      </c>
      <c r="O7" s="9">
        <v>1072</v>
      </c>
      <c r="P7" s="74">
        <v>1029</v>
      </c>
      <c r="R7" s="9">
        <v>1027</v>
      </c>
      <c r="S7" s="74">
        <v>1218</v>
      </c>
      <c r="T7" s="9">
        <v>1057</v>
      </c>
      <c r="U7" s="74">
        <v>1009</v>
      </c>
      <c r="W7" s="9">
        <v>802</v>
      </c>
      <c r="X7" s="74">
        <v>997</v>
      </c>
      <c r="Y7" s="9">
        <v>842</v>
      </c>
      <c r="Z7" s="74">
        <v>800</v>
      </c>
      <c r="AB7" s="9">
        <v>769</v>
      </c>
      <c r="AC7" s="74">
        <v>779</v>
      </c>
      <c r="AD7" s="9">
        <v>805</v>
      </c>
      <c r="AE7" s="74">
        <v>805</v>
      </c>
      <c r="AG7" s="9">
        <v>841</v>
      </c>
      <c r="AH7" s="74">
        <v>750</v>
      </c>
      <c r="AI7" s="9">
        <v>767</v>
      </c>
      <c r="AJ7" s="74">
        <v>809</v>
      </c>
      <c r="AL7" s="9">
        <v>1057</v>
      </c>
      <c r="AM7" s="74">
        <v>1119</v>
      </c>
      <c r="AN7" s="9">
        <v>1414</v>
      </c>
      <c r="AO7" s="74">
        <v>1508</v>
      </c>
      <c r="AQ7" s="9">
        <v>1594</v>
      </c>
      <c r="AR7" s="74">
        <v>1754</v>
      </c>
      <c r="AS7" s="9">
        <v>1874</v>
      </c>
      <c r="AT7" s="74">
        <v>2009</v>
      </c>
      <c r="AV7" s="9">
        <v>2105</v>
      </c>
      <c r="AW7" s="74">
        <v>2343</v>
      </c>
      <c r="AX7" s="9">
        <v>2548</v>
      </c>
      <c r="AY7" s="74">
        <v>2667</v>
      </c>
      <c r="BA7" s="9">
        <v>2955</v>
      </c>
      <c r="BB7" s="74">
        <v>3057</v>
      </c>
      <c r="BC7" s="9">
        <v>3127</v>
      </c>
      <c r="BD7" s="74">
        <v>3225</v>
      </c>
      <c r="BF7" s="9">
        <v>3230</v>
      </c>
      <c r="BG7" s="74">
        <v>3263</v>
      </c>
      <c r="BH7" s="9">
        <v>3291</v>
      </c>
      <c r="BI7" s="74">
        <v>3260</v>
      </c>
      <c r="BK7" s="9">
        <v>3282</v>
      </c>
      <c r="BL7" s="74">
        <v>3256</v>
      </c>
      <c r="BM7" s="9">
        <v>3243</v>
      </c>
      <c r="BN7" s="74">
        <v>3252</v>
      </c>
      <c r="BP7" s="9">
        <v>3228</v>
      </c>
      <c r="BQ7" s="74">
        <v>3186</v>
      </c>
      <c r="BR7" s="9">
        <v>3174</v>
      </c>
      <c r="BS7" s="74">
        <v>3138</v>
      </c>
      <c r="BU7" s="9">
        <v>3087</v>
      </c>
      <c r="BV7" s="74">
        <v>3050</v>
      </c>
      <c r="BW7" s="9">
        <v>3075</v>
      </c>
      <c r="BX7" s="74">
        <v>3035</v>
      </c>
      <c r="BZ7" s="9">
        <v>3057</v>
      </c>
      <c r="CA7" s="74">
        <v>2742</v>
      </c>
      <c r="CB7" s="9"/>
      <c r="CC7" s="9"/>
    </row>
    <row r="8" spans="1:81" s="87" customFormat="1">
      <c r="A8" s="87" t="s">
        <v>110</v>
      </c>
      <c r="B8" s="88"/>
      <c r="C8" s="89">
        <v>46</v>
      </c>
      <c r="D8" s="93">
        <v>46</v>
      </c>
      <c r="E8" s="89">
        <v>45</v>
      </c>
      <c r="F8" s="93">
        <v>45</v>
      </c>
      <c r="G8" s="91"/>
      <c r="H8" s="89">
        <v>43</v>
      </c>
      <c r="I8" s="93">
        <v>43</v>
      </c>
      <c r="J8" s="89">
        <v>42</v>
      </c>
      <c r="K8" s="93">
        <v>166</v>
      </c>
      <c r="L8" s="114"/>
      <c r="M8" s="89">
        <v>165</v>
      </c>
      <c r="N8" s="93">
        <v>158</v>
      </c>
      <c r="O8" s="89">
        <v>157</v>
      </c>
      <c r="P8" s="93">
        <v>201</v>
      </c>
      <c r="Q8" s="114"/>
      <c r="R8" s="89">
        <v>201</v>
      </c>
      <c r="S8" s="93">
        <v>214</v>
      </c>
      <c r="T8" s="89">
        <v>211</v>
      </c>
      <c r="U8" s="93">
        <v>347</v>
      </c>
      <c r="V8" s="114"/>
      <c r="W8" s="89">
        <v>290</v>
      </c>
      <c r="X8" s="93">
        <v>355</v>
      </c>
      <c r="Y8" s="89">
        <v>344</v>
      </c>
      <c r="Z8" s="93">
        <v>454</v>
      </c>
      <c r="AA8" s="114"/>
      <c r="AB8" s="89">
        <v>404</v>
      </c>
      <c r="AC8" s="93">
        <v>393</v>
      </c>
      <c r="AD8" s="89">
        <v>377</v>
      </c>
      <c r="AE8" s="93">
        <v>395</v>
      </c>
      <c r="AF8" s="114"/>
      <c r="AG8" s="89">
        <v>412</v>
      </c>
      <c r="AH8" s="93">
        <v>421</v>
      </c>
      <c r="AI8" s="89">
        <v>409</v>
      </c>
      <c r="AJ8" s="93">
        <v>556</v>
      </c>
      <c r="AK8" s="114"/>
      <c r="AL8" s="89">
        <v>547</v>
      </c>
      <c r="AM8" s="93">
        <v>557</v>
      </c>
      <c r="AN8" s="89">
        <v>605</v>
      </c>
      <c r="AO8" s="93">
        <v>541</v>
      </c>
      <c r="AP8" s="114"/>
      <c r="AQ8" s="89">
        <v>577</v>
      </c>
      <c r="AR8" s="93">
        <v>669</v>
      </c>
      <c r="AS8" s="89">
        <v>719</v>
      </c>
      <c r="AT8" s="93">
        <v>728</v>
      </c>
      <c r="AU8" s="114"/>
      <c r="AV8" s="89">
        <v>767</v>
      </c>
      <c r="AW8" s="93">
        <v>808</v>
      </c>
      <c r="AX8" s="89">
        <v>843</v>
      </c>
      <c r="AY8" s="93">
        <v>884</v>
      </c>
      <c r="BA8" s="89">
        <v>901</v>
      </c>
      <c r="BB8" s="93">
        <v>853</v>
      </c>
      <c r="BC8" s="89">
        <v>838</v>
      </c>
      <c r="BD8" s="93">
        <v>972</v>
      </c>
      <c r="BF8" s="89">
        <v>981</v>
      </c>
      <c r="BG8" s="93">
        <v>991</v>
      </c>
      <c r="BH8" s="89">
        <v>1070</v>
      </c>
      <c r="BI8" s="93">
        <v>1270</v>
      </c>
      <c r="BK8" s="89">
        <v>664</v>
      </c>
      <c r="BL8" s="93">
        <v>674</v>
      </c>
      <c r="BM8" s="89">
        <v>654</v>
      </c>
      <c r="BN8" s="93">
        <v>779</v>
      </c>
      <c r="BP8" s="89">
        <v>800</v>
      </c>
      <c r="BQ8" s="93">
        <v>774</v>
      </c>
      <c r="BR8" s="89">
        <v>716</v>
      </c>
      <c r="BS8" s="93">
        <v>769</v>
      </c>
      <c r="BU8" s="89">
        <v>674</v>
      </c>
      <c r="BV8" s="93">
        <v>761</v>
      </c>
      <c r="BW8" s="89">
        <v>800</v>
      </c>
      <c r="BX8" s="93">
        <v>759</v>
      </c>
      <c r="BZ8" s="89">
        <v>710</v>
      </c>
      <c r="CA8" s="93">
        <v>638</v>
      </c>
      <c r="CB8" s="89"/>
      <c r="CC8" s="89"/>
    </row>
    <row r="9" spans="1:81" s="121" customFormat="1">
      <c r="A9" s="121" t="s">
        <v>111</v>
      </c>
      <c r="B9" s="122"/>
      <c r="C9" s="103">
        <f>SUM(C6:C8)</f>
        <v>3020</v>
      </c>
      <c r="D9" s="104">
        <f>SUM(D6:D8)</f>
        <v>3061</v>
      </c>
      <c r="E9" s="103">
        <f>SUM(E6:E8)</f>
        <v>2907</v>
      </c>
      <c r="F9" s="104">
        <f>SUM(F6:F8)</f>
        <v>2922</v>
      </c>
      <c r="G9" s="98"/>
      <c r="H9" s="103">
        <f>SUM(H6:H8)</f>
        <v>2858</v>
      </c>
      <c r="I9" s="104">
        <f>SUM(I6:I8)</f>
        <v>2735</v>
      </c>
      <c r="J9" s="103">
        <f>SUM(J6:J8)</f>
        <v>2671</v>
      </c>
      <c r="K9" s="104">
        <f>SUM(K6:K8)</f>
        <v>2009</v>
      </c>
      <c r="L9" s="94"/>
      <c r="M9" s="103">
        <f>SUM(M6:M8)</f>
        <v>1959</v>
      </c>
      <c r="N9" s="104">
        <f>SUM(N6:N8)</f>
        <v>1906</v>
      </c>
      <c r="O9" s="103">
        <f>SUM(O6:O8)</f>
        <v>1888</v>
      </c>
      <c r="P9" s="104">
        <f>SUM(P6:P8)</f>
        <v>1881</v>
      </c>
      <c r="Q9" s="94"/>
      <c r="R9" s="103">
        <f>SUM(R6:R8)</f>
        <v>1911</v>
      </c>
      <c r="S9" s="104">
        <f>SUM(S6:S8)</f>
        <v>2557</v>
      </c>
      <c r="T9" s="103">
        <f>SUM(T6:T8)</f>
        <v>2392</v>
      </c>
      <c r="U9" s="104">
        <f>SUM(U6:U8)</f>
        <v>2396</v>
      </c>
      <c r="V9" s="94"/>
      <c r="W9" s="103">
        <f>SUM(W6:W8)</f>
        <v>1773</v>
      </c>
      <c r="X9" s="104">
        <f>SUM(X6:X8)</f>
        <v>2315</v>
      </c>
      <c r="Y9" s="103">
        <f>SUM(Y6:Y8)</f>
        <v>2170</v>
      </c>
      <c r="Z9" s="104">
        <f>SUM(Z6:Z8)</f>
        <v>2182</v>
      </c>
      <c r="AA9" s="94"/>
      <c r="AB9" s="103">
        <f>SUM(AB6:AB8)</f>
        <v>2179</v>
      </c>
      <c r="AC9" s="104">
        <f>SUM(AC6:AC8)</f>
        <v>2209</v>
      </c>
      <c r="AD9" s="103">
        <f>SUM(AD6:AD8)</f>
        <v>2225</v>
      </c>
      <c r="AE9" s="104">
        <f>SUM(AE6:AE8)</f>
        <v>2211</v>
      </c>
      <c r="AF9" s="94"/>
      <c r="AG9" s="103">
        <f>SUM(AG6:AG8)</f>
        <v>2266</v>
      </c>
      <c r="AH9" s="104">
        <f>SUM(AH6:AH8)</f>
        <v>2160</v>
      </c>
      <c r="AI9" s="103">
        <f>SUM(AI6:AI8)</f>
        <v>2171</v>
      </c>
      <c r="AJ9" s="104">
        <f>SUM(AJ6:AJ8)</f>
        <v>2185</v>
      </c>
      <c r="AK9" s="94"/>
      <c r="AL9" s="103">
        <f>SUM(AL6:AL8)</f>
        <v>2769</v>
      </c>
      <c r="AM9" s="104">
        <f>SUM(AM6:AM8)</f>
        <v>2910</v>
      </c>
      <c r="AN9" s="103">
        <f>SUM(AN6:AN8)</f>
        <v>3350</v>
      </c>
      <c r="AO9" s="104">
        <f>SUM(AO6:AO8)</f>
        <v>3436</v>
      </c>
      <c r="AP9" s="94"/>
      <c r="AQ9" s="103">
        <f>SUM(AQ6:AQ8)</f>
        <v>3603</v>
      </c>
      <c r="AR9" s="104">
        <f>SUM(AR6:AR8)</f>
        <v>3929</v>
      </c>
      <c r="AS9" s="103">
        <f>SUM(AS6:AS8)</f>
        <v>4178</v>
      </c>
      <c r="AT9" s="104">
        <f>SUM(AT6:AT8)</f>
        <v>4322</v>
      </c>
      <c r="AU9" s="94"/>
      <c r="AV9" s="103">
        <f>SUM(AV6:AV8)</f>
        <v>4514</v>
      </c>
      <c r="AW9" s="104">
        <f>SUM(AW6:AW8)</f>
        <v>4756</v>
      </c>
      <c r="AX9" s="103">
        <f>SUM(AX6:AX8)</f>
        <v>4982</v>
      </c>
      <c r="AY9" s="104">
        <f>SUM(AY6:AY8)</f>
        <v>5172</v>
      </c>
      <c r="BA9" s="103">
        <f>SUM(BA6:BA8)</f>
        <v>5537</v>
      </c>
      <c r="BB9" s="104">
        <f>SUM(BB6:BB8)</f>
        <v>5716</v>
      </c>
      <c r="BC9" s="103">
        <f>SUM(BC6:BC8)</f>
        <v>5679</v>
      </c>
      <c r="BD9" s="104">
        <f>SUM(BD6:BD8)</f>
        <v>5964</v>
      </c>
      <c r="BF9" s="103">
        <f>SUM(BF6:BF8)</f>
        <v>6014</v>
      </c>
      <c r="BG9" s="104">
        <f>SUM(BG6:BG8)</f>
        <v>6065</v>
      </c>
      <c r="BH9" s="103">
        <f>SUM(BH6:BH8)</f>
        <v>6272</v>
      </c>
      <c r="BI9" s="104">
        <f>SUM(BI6:BI8)</f>
        <v>6518</v>
      </c>
      <c r="BK9" s="103">
        <f>SUM(BK6:BK8)</f>
        <v>5909</v>
      </c>
      <c r="BL9" s="104">
        <f>SUM(BL6:BL8)</f>
        <v>5959</v>
      </c>
      <c r="BM9" s="103">
        <f>SUM(BM6:BM8)</f>
        <v>5917</v>
      </c>
      <c r="BN9" s="104">
        <f>SUM(BN6:BN8)</f>
        <v>6039</v>
      </c>
      <c r="BP9" s="103">
        <f>SUM(BP6:BP8)</f>
        <v>6065</v>
      </c>
      <c r="BQ9" s="104">
        <f>SUM(BQ6:BQ8)</f>
        <v>5977</v>
      </c>
      <c r="BR9" s="103">
        <f>SUM(BR6:BR8)</f>
        <v>5904</v>
      </c>
      <c r="BS9" s="104">
        <f>SUM(BS6:BS8)</f>
        <v>5908</v>
      </c>
      <c r="BU9" s="103">
        <f>SUM(BU6:BU8)</f>
        <v>5781</v>
      </c>
      <c r="BV9" s="104">
        <f>SUM(BV6:BV8)</f>
        <v>5849</v>
      </c>
      <c r="BW9" s="103">
        <f>SUM(BW6:BW8)</f>
        <v>6007</v>
      </c>
      <c r="BX9" s="104">
        <f>SUM(BX6:BX8)</f>
        <v>5969</v>
      </c>
      <c r="BZ9" s="103">
        <f>SUM(BZ6:BZ8)</f>
        <v>6088</v>
      </c>
      <c r="CA9" s="104">
        <f>SUM(CA6:CA8)</f>
        <v>5780</v>
      </c>
      <c r="CB9" s="103"/>
      <c r="CC9" s="103"/>
    </row>
    <row r="10" spans="1:81">
      <c r="C10" s="9"/>
      <c r="D10" s="74"/>
      <c r="E10" s="9"/>
      <c r="F10" s="74"/>
      <c r="G10" s="8"/>
      <c r="H10" s="9"/>
      <c r="I10" s="74"/>
      <c r="J10" s="9"/>
      <c r="K10" s="74"/>
      <c r="M10" s="9"/>
      <c r="N10" s="74"/>
      <c r="O10" s="9"/>
      <c r="P10" s="74"/>
      <c r="R10" s="9"/>
      <c r="S10" s="74"/>
      <c r="T10" s="9"/>
      <c r="U10" s="74"/>
      <c r="W10" s="9"/>
      <c r="X10" s="74"/>
      <c r="Y10" s="9"/>
      <c r="Z10" s="74"/>
      <c r="AB10" s="9"/>
      <c r="AC10" s="74"/>
      <c r="AD10" s="9"/>
      <c r="AE10" s="74"/>
      <c r="AG10" s="9"/>
      <c r="AH10" s="74"/>
      <c r="AI10" s="9"/>
      <c r="AJ10" s="74"/>
      <c r="AL10" s="9"/>
      <c r="AM10" s="74"/>
      <c r="AN10" s="9"/>
      <c r="AO10" s="74"/>
      <c r="AQ10" s="9"/>
      <c r="AR10" s="74"/>
      <c r="AS10" s="9"/>
      <c r="AT10" s="74"/>
      <c r="AV10" s="9"/>
      <c r="AW10" s="74"/>
      <c r="AX10" s="9"/>
      <c r="AY10" s="74"/>
      <c r="BA10" s="9"/>
      <c r="BB10" s="74"/>
      <c r="BC10" s="9"/>
      <c r="BD10" s="74"/>
      <c r="BF10" s="9"/>
      <c r="BG10" s="74"/>
      <c r="BH10" s="9"/>
      <c r="BI10" s="74"/>
      <c r="BK10" s="9"/>
      <c r="BL10" s="74"/>
      <c r="BM10" s="9"/>
      <c r="BN10" s="74"/>
      <c r="BP10" s="9"/>
      <c r="BQ10" s="74"/>
      <c r="BR10" s="9"/>
      <c r="BS10" s="74"/>
      <c r="BU10" s="9"/>
      <c r="BV10" s="74"/>
      <c r="BW10" s="9"/>
      <c r="BX10" s="74"/>
      <c r="BZ10" s="9"/>
      <c r="CA10" s="74"/>
      <c r="CB10" s="9"/>
      <c r="CC10" s="9"/>
    </row>
    <row r="11" spans="1:81">
      <c r="A11" s="2" t="s">
        <v>112</v>
      </c>
      <c r="C11" s="9">
        <v>1513</v>
      </c>
      <c r="D11" s="74">
        <v>1453</v>
      </c>
      <c r="E11" s="9">
        <v>1329</v>
      </c>
      <c r="F11" s="74">
        <v>1199</v>
      </c>
      <c r="G11" s="8"/>
      <c r="H11" s="9">
        <v>1229</v>
      </c>
      <c r="I11" s="74">
        <v>1172</v>
      </c>
      <c r="J11" s="9">
        <v>1084</v>
      </c>
      <c r="K11" s="74">
        <v>1038</v>
      </c>
      <c r="M11" s="9">
        <v>1112</v>
      </c>
      <c r="N11" s="74">
        <v>1080</v>
      </c>
      <c r="O11" s="9">
        <v>1041</v>
      </c>
      <c r="P11" s="74">
        <v>993</v>
      </c>
      <c r="R11" s="9">
        <v>1127</v>
      </c>
      <c r="S11" s="74">
        <v>1575</v>
      </c>
      <c r="T11" s="9">
        <v>1515</v>
      </c>
      <c r="U11" s="74">
        <v>1465</v>
      </c>
      <c r="W11" s="9">
        <v>1047</v>
      </c>
      <c r="X11" s="74">
        <v>1496</v>
      </c>
      <c r="Y11" s="9">
        <v>1432</v>
      </c>
      <c r="Z11" s="74">
        <v>1373</v>
      </c>
      <c r="AB11" s="9">
        <v>1503</v>
      </c>
      <c r="AC11" s="74">
        <v>1515</v>
      </c>
      <c r="AD11" s="9">
        <v>1557</v>
      </c>
      <c r="AE11" s="74">
        <v>1624</v>
      </c>
      <c r="AG11" s="9">
        <v>1788</v>
      </c>
      <c r="AH11" s="74">
        <v>1909</v>
      </c>
      <c r="AI11" s="9">
        <v>2036</v>
      </c>
      <c r="AJ11" s="74">
        <v>1894</v>
      </c>
      <c r="AL11" s="9">
        <v>2222</v>
      </c>
      <c r="AM11" s="74">
        <v>2352</v>
      </c>
      <c r="AN11" s="9">
        <v>2553</v>
      </c>
      <c r="AO11" s="74">
        <v>2287</v>
      </c>
      <c r="AQ11" s="9">
        <v>2642</v>
      </c>
      <c r="AR11" s="74">
        <v>2693</v>
      </c>
      <c r="AS11" s="9">
        <v>2721</v>
      </c>
      <c r="AT11" s="74">
        <v>2228</v>
      </c>
      <c r="AV11" s="9">
        <v>2320</v>
      </c>
      <c r="AW11" s="74">
        <v>2150</v>
      </c>
      <c r="AX11" s="9">
        <v>2108</v>
      </c>
      <c r="AY11" s="74">
        <v>2195</v>
      </c>
      <c r="BA11" s="9">
        <v>2545</v>
      </c>
      <c r="BB11" s="74">
        <v>2855</v>
      </c>
      <c r="BC11" s="9">
        <v>2897</v>
      </c>
      <c r="BD11" s="74">
        <v>2840</v>
      </c>
      <c r="BF11" s="9">
        <v>3410</v>
      </c>
      <c r="BG11" s="74">
        <v>3232</v>
      </c>
      <c r="BH11" s="9">
        <v>3333</v>
      </c>
      <c r="BI11" s="74">
        <v>2889</v>
      </c>
      <c r="BK11" s="9">
        <v>3325</v>
      </c>
      <c r="BL11" s="74">
        <v>3269</v>
      </c>
      <c r="BM11" s="9">
        <v>3273</v>
      </c>
      <c r="BN11" s="74">
        <v>2744</v>
      </c>
      <c r="BP11" s="9">
        <v>3397</v>
      </c>
      <c r="BQ11" s="74">
        <v>3021</v>
      </c>
      <c r="BR11" s="9">
        <v>2973</v>
      </c>
      <c r="BS11" s="74">
        <v>2657</v>
      </c>
      <c r="BU11" s="9">
        <v>2848</v>
      </c>
      <c r="BV11" s="74">
        <v>2768</v>
      </c>
      <c r="BW11" s="9">
        <v>2891</v>
      </c>
      <c r="BX11" s="74">
        <v>2612</v>
      </c>
      <c r="BZ11" s="9">
        <v>2922</v>
      </c>
      <c r="CA11" s="74">
        <v>3021</v>
      </c>
      <c r="CB11" s="9"/>
      <c r="CC11" s="9"/>
    </row>
    <row r="12" spans="1:81">
      <c r="A12" s="2" t="s">
        <v>24</v>
      </c>
      <c r="C12" s="9">
        <v>1426</v>
      </c>
      <c r="D12" s="74">
        <v>1480</v>
      </c>
      <c r="E12" s="9">
        <v>1517</v>
      </c>
      <c r="F12" s="74">
        <v>1292</v>
      </c>
      <c r="G12" s="8"/>
      <c r="H12" s="9">
        <v>1269</v>
      </c>
      <c r="I12" s="74">
        <v>1302</v>
      </c>
      <c r="J12" s="9">
        <v>1284</v>
      </c>
      <c r="K12" s="74">
        <v>1120</v>
      </c>
      <c r="M12" s="9">
        <v>1116</v>
      </c>
      <c r="N12" s="74">
        <v>1234</v>
      </c>
      <c r="O12" s="9">
        <v>1233</v>
      </c>
      <c r="P12" s="74">
        <v>1096</v>
      </c>
      <c r="R12" s="9">
        <v>1195</v>
      </c>
      <c r="S12" s="74">
        <v>1728</v>
      </c>
      <c r="T12" s="9">
        <v>1728</v>
      </c>
      <c r="U12" s="74">
        <v>1568</v>
      </c>
      <c r="W12" s="9">
        <v>1290</v>
      </c>
      <c r="X12" s="74">
        <v>1800</v>
      </c>
      <c r="Y12" s="9">
        <v>1796</v>
      </c>
      <c r="Z12" s="74">
        <v>1632</v>
      </c>
      <c r="AB12" s="9">
        <v>1850</v>
      </c>
      <c r="AC12" s="74">
        <v>2024</v>
      </c>
      <c r="AD12" s="9">
        <v>2063</v>
      </c>
      <c r="AE12" s="74">
        <v>2035</v>
      </c>
      <c r="AG12" s="9">
        <v>2214</v>
      </c>
      <c r="AH12" s="74">
        <v>2377</v>
      </c>
      <c r="AI12" s="9">
        <v>2363</v>
      </c>
      <c r="AJ12" s="74">
        <v>2205</v>
      </c>
      <c r="AL12" s="9">
        <v>2587</v>
      </c>
      <c r="AM12" s="74">
        <v>3009</v>
      </c>
      <c r="AN12" s="9">
        <v>2908</v>
      </c>
      <c r="AO12" s="74">
        <v>2819</v>
      </c>
      <c r="AQ12" s="9">
        <v>2948</v>
      </c>
      <c r="AR12" s="74">
        <v>3172</v>
      </c>
      <c r="AS12" s="9">
        <v>3004</v>
      </c>
      <c r="AT12" s="74">
        <v>2798</v>
      </c>
      <c r="AV12" s="9">
        <v>2692</v>
      </c>
      <c r="AW12" s="74">
        <v>2768</v>
      </c>
      <c r="AX12" s="9">
        <v>2789</v>
      </c>
      <c r="AY12" s="74">
        <v>2503</v>
      </c>
      <c r="BA12" s="9">
        <v>2873</v>
      </c>
      <c r="BB12" s="74">
        <v>3321</v>
      </c>
      <c r="BC12" s="9">
        <v>3562</v>
      </c>
      <c r="BD12" s="74">
        <v>3505</v>
      </c>
      <c r="BF12" s="9">
        <v>3985</v>
      </c>
      <c r="BG12" s="74">
        <v>3984</v>
      </c>
      <c r="BH12" s="9">
        <v>3796</v>
      </c>
      <c r="BI12" s="74">
        <v>3761</v>
      </c>
      <c r="BK12" s="9">
        <v>3651</v>
      </c>
      <c r="BL12" s="74">
        <v>3914</v>
      </c>
      <c r="BM12" s="9">
        <v>3738</v>
      </c>
      <c r="BN12" s="74">
        <v>3790</v>
      </c>
      <c r="BP12" s="9">
        <v>3818</v>
      </c>
      <c r="BQ12" s="74">
        <v>3956</v>
      </c>
      <c r="BR12" s="9">
        <v>4299</v>
      </c>
      <c r="BS12" s="74">
        <v>4054</v>
      </c>
      <c r="BU12" s="9">
        <v>4102</v>
      </c>
      <c r="BV12" s="74">
        <v>4140</v>
      </c>
      <c r="BW12" s="9">
        <v>4226</v>
      </c>
      <c r="BX12" s="74">
        <v>3383</v>
      </c>
      <c r="BZ12" s="9">
        <v>4358</v>
      </c>
      <c r="CA12" s="74">
        <v>4584</v>
      </c>
      <c r="CB12" s="9"/>
      <c r="CC12" s="9"/>
    </row>
    <row r="13" spans="1:81">
      <c r="A13" s="2" t="s">
        <v>155</v>
      </c>
      <c r="C13" s="9"/>
      <c r="D13" s="74"/>
      <c r="E13" s="9"/>
      <c r="F13" s="74"/>
      <c r="G13" s="8"/>
      <c r="H13" s="9"/>
      <c r="I13" s="74"/>
      <c r="J13" s="9"/>
      <c r="K13" s="74"/>
      <c r="M13" s="9"/>
      <c r="N13" s="74"/>
      <c r="O13" s="9"/>
      <c r="P13" s="74"/>
      <c r="R13" s="9"/>
      <c r="S13" s="74"/>
      <c r="T13" s="9"/>
      <c r="U13" s="74"/>
      <c r="W13" s="9"/>
      <c r="X13" s="74"/>
      <c r="Y13" s="9"/>
      <c r="Z13" s="74"/>
      <c r="AB13" s="9"/>
      <c r="AC13" s="74"/>
      <c r="AD13" s="9"/>
      <c r="AE13" s="74"/>
      <c r="AG13" s="9"/>
      <c r="AH13" s="74"/>
      <c r="AI13" s="9"/>
      <c r="AJ13" s="74"/>
      <c r="AL13" s="9"/>
      <c r="AM13" s="74"/>
      <c r="AN13" s="9"/>
      <c r="AO13" s="74"/>
      <c r="AQ13" s="9"/>
      <c r="AR13" s="74"/>
      <c r="AS13" s="9"/>
      <c r="AT13" s="74"/>
      <c r="AV13" s="9"/>
      <c r="AW13" s="74"/>
      <c r="AX13" s="9"/>
      <c r="AY13" s="74"/>
      <c r="BA13" s="9"/>
      <c r="BB13" s="74"/>
      <c r="BC13" s="9"/>
      <c r="BD13" s="74"/>
      <c r="BF13" s="9"/>
      <c r="BG13" s="74"/>
      <c r="BH13" s="9"/>
      <c r="BI13" s="74"/>
      <c r="BK13" s="9">
        <v>571</v>
      </c>
      <c r="BL13" s="74">
        <v>0</v>
      </c>
      <c r="BM13" s="9">
        <v>0</v>
      </c>
      <c r="BN13" s="74">
        <v>0</v>
      </c>
      <c r="BP13" s="9"/>
      <c r="BQ13" s="74"/>
      <c r="BR13" s="9"/>
      <c r="BS13" s="74"/>
      <c r="BU13" s="9"/>
      <c r="BV13" s="74"/>
      <c r="BW13" s="9"/>
      <c r="BX13" s="74"/>
      <c r="BZ13" s="9"/>
      <c r="CA13" s="74"/>
      <c r="CB13" s="9"/>
      <c r="CC13" s="9"/>
    </row>
    <row r="14" spans="1:81">
      <c r="A14" s="2" t="s">
        <v>25</v>
      </c>
      <c r="C14" s="9">
        <v>265</v>
      </c>
      <c r="D14" s="74">
        <v>113</v>
      </c>
      <c r="E14" s="9">
        <v>113</v>
      </c>
      <c r="F14" s="74">
        <v>113</v>
      </c>
      <c r="G14" s="8"/>
      <c r="H14" s="9">
        <v>90</v>
      </c>
      <c r="I14" s="74">
        <v>94</v>
      </c>
      <c r="J14" s="9">
        <v>92</v>
      </c>
      <c r="K14" s="74">
        <v>94</v>
      </c>
      <c r="M14" s="9">
        <v>2</v>
      </c>
      <c r="N14" s="74">
        <v>0</v>
      </c>
      <c r="O14" s="9">
        <v>0</v>
      </c>
      <c r="P14" s="74">
        <v>101</v>
      </c>
      <c r="R14" s="9">
        <v>104</v>
      </c>
      <c r="S14" s="74">
        <v>43</v>
      </c>
      <c r="T14" s="9">
        <v>40</v>
      </c>
      <c r="U14" s="74">
        <v>57</v>
      </c>
      <c r="W14" s="9">
        <v>104</v>
      </c>
      <c r="X14" s="74">
        <v>42</v>
      </c>
      <c r="Y14" s="9">
        <v>40</v>
      </c>
      <c r="Z14" s="74">
        <v>57</v>
      </c>
      <c r="AB14" s="9">
        <v>44</v>
      </c>
      <c r="AC14" s="74">
        <v>31</v>
      </c>
      <c r="AD14" s="9">
        <v>29</v>
      </c>
      <c r="AE14" s="74">
        <v>28</v>
      </c>
      <c r="AG14" s="9">
        <v>26</v>
      </c>
      <c r="AH14" s="74">
        <v>14</v>
      </c>
      <c r="AI14" s="9">
        <v>14</v>
      </c>
      <c r="AJ14" s="74">
        <v>49</v>
      </c>
      <c r="AL14" s="9">
        <v>37</v>
      </c>
      <c r="AM14" s="74">
        <v>30</v>
      </c>
      <c r="AN14" s="9">
        <v>24</v>
      </c>
      <c r="AO14" s="74">
        <v>18</v>
      </c>
      <c r="AQ14" s="9">
        <v>13</v>
      </c>
      <c r="AR14" s="74">
        <v>0</v>
      </c>
      <c r="AS14" s="9">
        <v>0</v>
      </c>
      <c r="AT14" s="74">
        <v>0</v>
      </c>
      <c r="AV14" s="9">
        <v>0</v>
      </c>
      <c r="AW14" s="74">
        <v>0</v>
      </c>
      <c r="AX14" s="9">
        <v>0</v>
      </c>
      <c r="AY14" s="74">
        <v>0</v>
      </c>
      <c r="BA14" s="9">
        <v>0</v>
      </c>
      <c r="BB14" s="74">
        <v>0</v>
      </c>
      <c r="BC14" s="9">
        <v>0</v>
      </c>
      <c r="BD14" s="74">
        <v>0</v>
      </c>
      <c r="BF14" s="9">
        <v>0</v>
      </c>
      <c r="BG14" s="74">
        <v>0</v>
      </c>
      <c r="BH14" s="9">
        <v>0</v>
      </c>
      <c r="BI14" s="74">
        <v>0</v>
      </c>
      <c r="BK14" s="9">
        <v>0</v>
      </c>
      <c r="BL14" s="74">
        <v>0</v>
      </c>
      <c r="BM14" s="9">
        <v>0</v>
      </c>
      <c r="BN14" s="74">
        <v>0</v>
      </c>
      <c r="BP14" s="9"/>
      <c r="BQ14" s="74"/>
      <c r="BR14" s="9"/>
      <c r="BS14" s="74"/>
      <c r="BU14" s="9"/>
      <c r="BV14" s="74"/>
      <c r="BW14" s="9"/>
      <c r="BX14" s="74"/>
      <c r="BZ14" s="9"/>
      <c r="CA14" s="74"/>
      <c r="CB14" s="9"/>
      <c r="CC14" s="9"/>
    </row>
    <row r="15" spans="1:81" s="87" customFormat="1">
      <c r="A15" s="87" t="s">
        <v>26</v>
      </c>
      <c r="B15" s="88"/>
      <c r="C15" s="89">
        <v>3200</v>
      </c>
      <c r="D15" s="93">
        <v>800</v>
      </c>
      <c r="E15" s="89">
        <v>848</v>
      </c>
      <c r="F15" s="93">
        <v>920</v>
      </c>
      <c r="G15" s="91"/>
      <c r="H15" s="89">
        <v>800</v>
      </c>
      <c r="I15" s="93">
        <v>689</v>
      </c>
      <c r="J15" s="89">
        <v>864</v>
      </c>
      <c r="K15" s="93">
        <v>773</v>
      </c>
      <c r="L15" s="114"/>
      <c r="M15" s="89">
        <v>752</v>
      </c>
      <c r="N15" s="93">
        <v>545</v>
      </c>
      <c r="O15" s="89">
        <v>524</v>
      </c>
      <c r="P15" s="93">
        <v>592</v>
      </c>
      <c r="Q15" s="114"/>
      <c r="R15" s="89">
        <v>409</v>
      </c>
      <c r="S15" s="93">
        <v>370</v>
      </c>
      <c r="T15" s="89">
        <v>418</v>
      </c>
      <c r="U15" s="93">
        <v>626</v>
      </c>
      <c r="V15" s="114"/>
      <c r="W15" s="89">
        <v>409</v>
      </c>
      <c r="X15" s="93">
        <v>371</v>
      </c>
      <c r="Y15" s="89">
        <v>418</v>
      </c>
      <c r="Z15" s="93">
        <v>625</v>
      </c>
      <c r="AA15" s="114"/>
      <c r="AB15" s="89">
        <v>346</v>
      </c>
      <c r="AC15" s="93">
        <v>252</v>
      </c>
      <c r="AD15" s="89">
        <v>228</v>
      </c>
      <c r="AE15" s="93">
        <v>279</v>
      </c>
      <c r="AF15" s="114"/>
      <c r="AG15" s="89">
        <v>163</v>
      </c>
      <c r="AH15" s="93">
        <v>456</v>
      </c>
      <c r="AI15" s="89">
        <v>306</v>
      </c>
      <c r="AJ15" s="93">
        <v>1017</v>
      </c>
      <c r="AK15" s="114"/>
      <c r="AL15" s="89">
        <v>375</v>
      </c>
      <c r="AM15" s="93">
        <v>287</v>
      </c>
      <c r="AN15" s="89">
        <v>326</v>
      </c>
      <c r="AO15" s="93">
        <v>539</v>
      </c>
      <c r="AP15" s="114"/>
      <c r="AQ15" s="89">
        <v>449</v>
      </c>
      <c r="AR15" s="93">
        <v>437</v>
      </c>
      <c r="AS15" s="89">
        <v>406</v>
      </c>
      <c r="AT15" s="93">
        <v>587</v>
      </c>
      <c r="AU15" s="114"/>
      <c r="AV15" s="89">
        <v>209</v>
      </c>
      <c r="AW15" s="93">
        <v>215</v>
      </c>
      <c r="AX15" s="89">
        <v>214</v>
      </c>
      <c r="AY15" s="93">
        <v>254</v>
      </c>
      <c r="BA15" s="89">
        <v>206</v>
      </c>
      <c r="BB15" s="93">
        <v>242</v>
      </c>
      <c r="BC15" s="89">
        <v>215</v>
      </c>
      <c r="BD15" s="93">
        <v>247</v>
      </c>
      <c r="BF15" s="89">
        <v>251</v>
      </c>
      <c r="BG15" s="93">
        <v>249</v>
      </c>
      <c r="BH15" s="89">
        <v>206</v>
      </c>
      <c r="BI15" s="93">
        <v>271</v>
      </c>
      <c r="BK15" s="89">
        <v>315</v>
      </c>
      <c r="BL15" s="93">
        <v>243</v>
      </c>
      <c r="BM15" s="89">
        <v>280</v>
      </c>
      <c r="BN15" s="93">
        <v>363</v>
      </c>
      <c r="BP15" s="89">
        <v>381</v>
      </c>
      <c r="BQ15" s="93">
        <v>391</v>
      </c>
      <c r="BR15" s="89">
        <v>358</v>
      </c>
      <c r="BS15" s="93">
        <v>376</v>
      </c>
      <c r="BU15" s="89">
        <v>407</v>
      </c>
      <c r="BV15" s="93">
        <v>294</v>
      </c>
      <c r="BW15" s="89">
        <v>308</v>
      </c>
      <c r="BX15" s="93">
        <v>374</v>
      </c>
      <c r="BZ15" s="89">
        <v>425</v>
      </c>
      <c r="CA15" s="93">
        <v>477</v>
      </c>
      <c r="CB15" s="89"/>
      <c r="CC15" s="89"/>
    </row>
    <row r="16" spans="1:81" s="116" customFormat="1">
      <c r="A16" s="116" t="s">
        <v>27</v>
      </c>
      <c r="B16" s="117"/>
      <c r="C16" s="118">
        <f>SUM(C11:C15)</f>
        <v>6404</v>
      </c>
      <c r="D16" s="124">
        <f>SUM(D11:D15)</f>
        <v>3846</v>
      </c>
      <c r="E16" s="118">
        <f>SUM(E11:E15)</f>
        <v>3807</v>
      </c>
      <c r="F16" s="124">
        <f>SUM(F11:F15)</f>
        <v>3524</v>
      </c>
      <c r="G16" s="119"/>
      <c r="H16" s="118">
        <f>SUM(H11:H15)</f>
        <v>3388</v>
      </c>
      <c r="I16" s="124">
        <f>SUM(I11:I15)</f>
        <v>3257</v>
      </c>
      <c r="J16" s="118">
        <f>SUM(J11:J15)</f>
        <v>3324</v>
      </c>
      <c r="K16" s="124">
        <f>SUM(K11:K15)</f>
        <v>3025</v>
      </c>
      <c r="L16" s="120"/>
      <c r="M16" s="118">
        <f>SUM(M11:M15)</f>
        <v>2982</v>
      </c>
      <c r="N16" s="124">
        <f>SUM(N11:N15)</f>
        <v>2859</v>
      </c>
      <c r="O16" s="118">
        <f>SUM(O11:O15)</f>
        <v>2798</v>
      </c>
      <c r="P16" s="124">
        <f>SUM(P11:P15)</f>
        <v>2782</v>
      </c>
      <c r="Q16" s="120"/>
      <c r="R16" s="118">
        <f>SUM(R11:R15)</f>
        <v>2835</v>
      </c>
      <c r="S16" s="124">
        <f>SUM(S11:S15)</f>
        <v>3716</v>
      </c>
      <c r="T16" s="118">
        <f>SUM(T11:T15)</f>
        <v>3701</v>
      </c>
      <c r="U16" s="124">
        <f>SUM(U11:U15)</f>
        <v>3716</v>
      </c>
      <c r="V16" s="120"/>
      <c r="W16" s="118">
        <f>SUM(W11:W15)</f>
        <v>2850</v>
      </c>
      <c r="X16" s="124">
        <f>SUM(X11:X15)</f>
        <v>3709</v>
      </c>
      <c r="Y16" s="118">
        <f>SUM(Y11:Y15)</f>
        <v>3686</v>
      </c>
      <c r="Z16" s="124">
        <f>SUM(Z11:Z15)</f>
        <v>3687</v>
      </c>
      <c r="AA16" s="120"/>
      <c r="AB16" s="118">
        <f>SUM(AB11:AB15)</f>
        <v>3743</v>
      </c>
      <c r="AC16" s="124">
        <f>SUM(AC11:AC15)</f>
        <v>3822</v>
      </c>
      <c r="AD16" s="118">
        <f>SUM(AD11:AD15)</f>
        <v>3877</v>
      </c>
      <c r="AE16" s="124">
        <f>SUM(AE11:AE15)</f>
        <v>3966</v>
      </c>
      <c r="AF16" s="120"/>
      <c r="AG16" s="118">
        <f>SUM(AG11:AG15)</f>
        <v>4191</v>
      </c>
      <c r="AH16" s="124">
        <f>SUM(AH11:AH15)</f>
        <v>4756</v>
      </c>
      <c r="AI16" s="118">
        <f>SUM(AI11:AI15)</f>
        <v>4719</v>
      </c>
      <c r="AJ16" s="124">
        <f>SUM(AJ11:AJ15)</f>
        <v>5165</v>
      </c>
      <c r="AK16" s="120"/>
      <c r="AL16" s="118">
        <f>SUM(AL11:AL15)</f>
        <v>5221</v>
      </c>
      <c r="AM16" s="124">
        <f>SUM(AM11:AM15)</f>
        <v>5678</v>
      </c>
      <c r="AN16" s="118">
        <f>SUM(AN11:AN15)</f>
        <v>5811</v>
      </c>
      <c r="AO16" s="124">
        <f>SUM(AO11:AO15)</f>
        <v>5663</v>
      </c>
      <c r="AP16" s="120"/>
      <c r="AQ16" s="118">
        <f>SUM(AQ11:AQ15)</f>
        <v>6052</v>
      </c>
      <c r="AR16" s="124">
        <f>SUM(AR11:AR15)</f>
        <v>6302</v>
      </c>
      <c r="AS16" s="118">
        <f>SUM(AS11:AS15)</f>
        <v>6131</v>
      </c>
      <c r="AT16" s="124">
        <f>SUM(AT11:AT15)</f>
        <v>5613</v>
      </c>
      <c r="AU16" s="120"/>
      <c r="AV16" s="118">
        <f>SUM(AV11:AV15)</f>
        <v>5221</v>
      </c>
      <c r="AW16" s="124">
        <f>SUM(AW11:AW15)</f>
        <v>5133</v>
      </c>
      <c r="AX16" s="118">
        <f>SUM(AX11:AX15)</f>
        <v>5111</v>
      </c>
      <c r="AY16" s="124">
        <f>SUM(AY11:AY15)</f>
        <v>4952</v>
      </c>
      <c r="BA16" s="118">
        <f>SUM(BA11:BA15)</f>
        <v>5624</v>
      </c>
      <c r="BB16" s="124">
        <f>SUM(BB11:BB15)</f>
        <v>6418</v>
      </c>
      <c r="BC16" s="118">
        <f>SUM(BC11:BC15)</f>
        <v>6674</v>
      </c>
      <c r="BD16" s="124">
        <f>SUM(BD11:BD15)</f>
        <v>6592</v>
      </c>
      <c r="BF16" s="118">
        <f>SUM(BF11:BF15)</f>
        <v>7646</v>
      </c>
      <c r="BG16" s="124">
        <f>SUM(BG11:BG15)</f>
        <v>7465</v>
      </c>
      <c r="BH16" s="118">
        <f>SUM(BH11:BH15)</f>
        <v>7335</v>
      </c>
      <c r="BI16" s="124">
        <f>SUM(BI11:BI15)</f>
        <v>6921</v>
      </c>
      <c r="BK16" s="118">
        <f>SUM(BK11:BK15)</f>
        <v>7862</v>
      </c>
      <c r="BL16" s="124">
        <f>SUM(BL11:BL15)</f>
        <v>7426</v>
      </c>
      <c r="BM16" s="118">
        <f>SUM(BM11:BM15)</f>
        <v>7291</v>
      </c>
      <c r="BN16" s="124">
        <f>SUM(BN11:BN15)</f>
        <v>6897</v>
      </c>
      <c r="BP16" s="118">
        <f>SUM(BP11:BP15)</f>
        <v>7596</v>
      </c>
      <c r="BQ16" s="124">
        <f>SUM(BQ11:BQ15)</f>
        <v>7368</v>
      </c>
      <c r="BR16" s="118">
        <f>SUM(BR11:BR15)</f>
        <v>7630</v>
      </c>
      <c r="BS16" s="124">
        <f>SUM(BS11:BS15)</f>
        <v>7087</v>
      </c>
      <c r="BU16" s="118">
        <f>SUM(BU11:BU15)</f>
        <v>7357</v>
      </c>
      <c r="BV16" s="124">
        <f>SUM(BV11:BV15)</f>
        <v>7202</v>
      </c>
      <c r="BW16" s="118">
        <f>SUM(BW11:BW15)</f>
        <v>7425</v>
      </c>
      <c r="BX16" s="124">
        <f>SUM(BX11:BX15)</f>
        <v>6369</v>
      </c>
      <c r="BZ16" s="118">
        <f>SUM(BZ11:BZ15)</f>
        <v>7705</v>
      </c>
      <c r="CA16" s="124">
        <f>SUM(CA11:CA15)</f>
        <v>8082</v>
      </c>
      <c r="CB16" s="118"/>
      <c r="CC16" s="118"/>
    </row>
    <row r="17" spans="1:81" s="87" customFormat="1">
      <c r="B17" s="88"/>
      <c r="C17" s="89"/>
      <c r="D17" s="93"/>
      <c r="E17" s="89"/>
      <c r="F17" s="93"/>
      <c r="G17" s="91"/>
      <c r="H17" s="89"/>
      <c r="I17" s="93"/>
      <c r="J17" s="89"/>
      <c r="K17" s="93"/>
      <c r="L17" s="114"/>
      <c r="M17" s="89"/>
      <c r="N17" s="93"/>
      <c r="O17" s="89"/>
      <c r="P17" s="93"/>
      <c r="Q17" s="114"/>
      <c r="R17" s="89"/>
      <c r="S17" s="93"/>
      <c r="T17" s="89"/>
      <c r="U17" s="93"/>
      <c r="V17" s="114"/>
      <c r="W17" s="89"/>
      <c r="X17" s="93"/>
      <c r="Y17" s="89"/>
      <c r="Z17" s="93"/>
      <c r="AA17" s="114"/>
      <c r="AB17" s="89"/>
      <c r="AC17" s="93"/>
      <c r="AD17" s="89"/>
      <c r="AE17" s="93"/>
      <c r="AF17" s="114"/>
      <c r="AG17" s="89"/>
      <c r="AH17" s="93"/>
      <c r="AI17" s="89"/>
      <c r="AJ17" s="93"/>
      <c r="AK17" s="114"/>
      <c r="AL17" s="89"/>
      <c r="AM17" s="93"/>
      <c r="AN17" s="89"/>
      <c r="AO17" s="93"/>
      <c r="AP17" s="114"/>
      <c r="AQ17" s="89"/>
      <c r="AR17" s="93"/>
      <c r="AS17" s="89"/>
      <c r="AT17" s="93"/>
      <c r="AU17" s="114"/>
      <c r="AV17" s="89"/>
      <c r="AW17" s="93"/>
      <c r="AX17" s="89"/>
      <c r="AY17" s="93"/>
      <c r="BA17" s="89"/>
      <c r="BB17" s="93"/>
      <c r="BC17" s="89"/>
      <c r="BD17" s="93"/>
      <c r="BF17" s="89"/>
      <c r="BG17" s="93"/>
      <c r="BH17" s="89"/>
      <c r="BI17" s="93"/>
      <c r="BK17" s="89"/>
      <c r="BL17" s="93"/>
      <c r="BM17" s="89"/>
      <c r="BN17" s="93"/>
      <c r="BP17" s="89"/>
      <c r="BQ17" s="93"/>
      <c r="BR17" s="89"/>
      <c r="BS17" s="93"/>
      <c r="BU17" s="89"/>
      <c r="BV17" s="93"/>
      <c r="BW17" s="89"/>
      <c r="BX17" s="93"/>
      <c r="BZ17" s="89"/>
      <c r="CA17" s="93"/>
      <c r="CB17" s="89"/>
      <c r="CC17" s="89"/>
    </row>
    <row r="18" spans="1:81" s="121" customFormat="1">
      <c r="A18" s="121" t="s">
        <v>28</v>
      </c>
      <c r="B18" s="122"/>
      <c r="C18" s="103">
        <f>C16+C9</f>
        <v>9424</v>
      </c>
      <c r="D18" s="104">
        <f>D16+D9</f>
        <v>6907</v>
      </c>
      <c r="E18" s="103">
        <f>E16+E9</f>
        <v>6714</v>
      </c>
      <c r="F18" s="104">
        <f>F16+F9</f>
        <v>6446</v>
      </c>
      <c r="G18" s="98"/>
      <c r="H18" s="103">
        <f>H16+H9</f>
        <v>6246</v>
      </c>
      <c r="I18" s="104">
        <f>I16+I9</f>
        <v>5992</v>
      </c>
      <c r="J18" s="103">
        <f>J16+J9</f>
        <v>5995</v>
      </c>
      <c r="K18" s="104">
        <f>K16+K9</f>
        <v>5034</v>
      </c>
      <c r="L18" s="94"/>
      <c r="M18" s="103">
        <f>M16+M9</f>
        <v>4941</v>
      </c>
      <c r="N18" s="104">
        <f>N16+N9</f>
        <v>4765</v>
      </c>
      <c r="O18" s="103">
        <f>O16+O9</f>
        <v>4686</v>
      </c>
      <c r="P18" s="104">
        <f>P16+P9</f>
        <v>4663</v>
      </c>
      <c r="Q18" s="94"/>
      <c r="R18" s="103">
        <f>R16+R9</f>
        <v>4746</v>
      </c>
      <c r="S18" s="104">
        <f>S16+S9</f>
        <v>6273</v>
      </c>
      <c r="T18" s="103">
        <f>T16+T9</f>
        <v>6093</v>
      </c>
      <c r="U18" s="104">
        <f>U16+U9</f>
        <v>6112</v>
      </c>
      <c r="V18" s="94"/>
      <c r="W18" s="103">
        <f>W16+W9</f>
        <v>4623</v>
      </c>
      <c r="X18" s="104">
        <f>X16+X9</f>
        <v>6024</v>
      </c>
      <c r="Y18" s="103">
        <f>Y16+Y9</f>
        <v>5856</v>
      </c>
      <c r="Z18" s="104">
        <f>Z16+Z9</f>
        <v>5869</v>
      </c>
      <c r="AA18" s="94"/>
      <c r="AB18" s="103">
        <f>AB16+AB9</f>
        <v>5922</v>
      </c>
      <c r="AC18" s="104">
        <f>AC16+AC9</f>
        <v>6031</v>
      </c>
      <c r="AD18" s="103">
        <f>AD16+AD9</f>
        <v>6102</v>
      </c>
      <c r="AE18" s="104">
        <f>AE16+AE9</f>
        <v>6177</v>
      </c>
      <c r="AF18" s="94"/>
      <c r="AG18" s="103">
        <f>AG16+AG9</f>
        <v>6457</v>
      </c>
      <c r="AH18" s="104">
        <f>AH16+AH9</f>
        <v>6916</v>
      </c>
      <c r="AI18" s="103">
        <f>AI16+AI9</f>
        <v>6890</v>
      </c>
      <c r="AJ18" s="104">
        <f>AJ16+AJ9</f>
        <v>7350</v>
      </c>
      <c r="AK18" s="94"/>
      <c r="AL18" s="103">
        <f>AL16+AL9</f>
        <v>7990</v>
      </c>
      <c r="AM18" s="104">
        <f>AM16+AM9</f>
        <v>8588</v>
      </c>
      <c r="AN18" s="103">
        <f>AN16+AN9</f>
        <v>9161</v>
      </c>
      <c r="AO18" s="104">
        <f>AO16+AO9</f>
        <v>9099</v>
      </c>
      <c r="AP18" s="94"/>
      <c r="AQ18" s="103">
        <f>AQ16+AQ9</f>
        <v>9655</v>
      </c>
      <c r="AR18" s="104">
        <f>AR16+AR9</f>
        <v>10231</v>
      </c>
      <c r="AS18" s="103">
        <f>AS16+AS9</f>
        <v>10309</v>
      </c>
      <c r="AT18" s="104">
        <f>AT16+AT9</f>
        <v>9935</v>
      </c>
      <c r="AU18" s="94"/>
      <c r="AV18" s="103">
        <f>AV16+AV9</f>
        <v>9735</v>
      </c>
      <c r="AW18" s="104">
        <f>AW16+AW9</f>
        <v>9889</v>
      </c>
      <c r="AX18" s="103">
        <f>AX16+AX9</f>
        <v>10093</v>
      </c>
      <c r="AY18" s="104">
        <f>AY16+AY9</f>
        <v>10124</v>
      </c>
      <c r="BA18" s="103">
        <f>BA16+BA9</f>
        <v>11161</v>
      </c>
      <c r="BB18" s="104">
        <f>BB16+BB9</f>
        <v>12134</v>
      </c>
      <c r="BC18" s="103">
        <f>BC16+BC9</f>
        <v>12353</v>
      </c>
      <c r="BD18" s="104">
        <f>BD16+BD9</f>
        <v>12556</v>
      </c>
      <c r="BF18" s="103">
        <f>BF16+BF9</f>
        <v>13660</v>
      </c>
      <c r="BG18" s="104">
        <f>BG16+BG9</f>
        <v>13530</v>
      </c>
      <c r="BH18" s="103">
        <f>BH16+BH9</f>
        <v>13607</v>
      </c>
      <c r="BI18" s="104">
        <f>BI16+BI9</f>
        <v>13439</v>
      </c>
      <c r="BK18" s="103">
        <f>BK16+BK9</f>
        <v>13771</v>
      </c>
      <c r="BL18" s="104">
        <f>BL16+BL9</f>
        <v>13385</v>
      </c>
      <c r="BM18" s="103">
        <f>BM16+BM9</f>
        <v>13208</v>
      </c>
      <c r="BN18" s="104">
        <f>BN16+BN9</f>
        <v>12936</v>
      </c>
      <c r="BP18" s="103">
        <f>BP16+BP9</f>
        <v>13661</v>
      </c>
      <c r="BQ18" s="104">
        <f>BQ16+BQ9</f>
        <v>13345</v>
      </c>
      <c r="BR18" s="103">
        <f>BR16+BR9</f>
        <v>13534</v>
      </c>
      <c r="BS18" s="104">
        <f>BS16+BS9</f>
        <v>12995</v>
      </c>
      <c r="BU18" s="103">
        <f>BU16+BU9</f>
        <v>13138</v>
      </c>
      <c r="BV18" s="104">
        <f>BV16+BV9</f>
        <v>13051</v>
      </c>
      <c r="BW18" s="103">
        <f>BW16+BW9</f>
        <v>13432</v>
      </c>
      <c r="BX18" s="104">
        <f>BX16+BX9</f>
        <v>12338</v>
      </c>
      <c r="BZ18" s="103">
        <f>BZ16+BZ9</f>
        <v>13793</v>
      </c>
      <c r="CA18" s="104">
        <f>CA16+CA9</f>
        <v>13862</v>
      </c>
      <c r="CB18" s="103"/>
      <c r="CC18" s="103"/>
    </row>
    <row r="19" spans="1:81">
      <c r="C19" s="9"/>
      <c r="D19" s="74"/>
      <c r="E19" s="9"/>
      <c r="F19" s="74"/>
      <c r="G19" s="8"/>
      <c r="H19" s="9"/>
      <c r="I19" s="74"/>
      <c r="J19" s="9"/>
      <c r="K19" s="74"/>
      <c r="M19" s="9"/>
      <c r="N19" s="74"/>
      <c r="O19" s="9"/>
      <c r="P19" s="74"/>
      <c r="R19" s="9"/>
      <c r="S19" s="74"/>
      <c r="T19" s="9"/>
      <c r="U19" s="74"/>
      <c r="W19" s="9"/>
      <c r="X19" s="74"/>
      <c r="Y19" s="9"/>
      <c r="Z19" s="74"/>
      <c r="AB19" s="9"/>
      <c r="AC19" s="74"/>
      <c r="AD19" s="9"/>
      <c r="AE19" s="74"/>
      <c r="AG19" s="9"/>
      <c r="AH19" s="74"/>
      <c r="AI19" s="9"/>
      <c r="AJ19" s="74"/>
      <c r="AL19" s="9"/>
      <c r="AM19" s="74"/>
      <c r="AN19" s="9"/>
      <c r="AO19" s="74"/>
      <c r="AQ19" s="9"/>
      <c r="AR19" s="74"/>
      <c r="AS19" s="9"/>
      <c r="AT19" s="74"/>
      <c r="AV19" s="9"/>
      <c r="AW19" s="74"/>
      <c r="AX19" s="9"/>
      <c r="AY19" s="74"/>
      <c r="BA19" s="9"/>
      <c r="BB19" s="74"/>
      <c r="BC19" s="9"/>
      <c r="BD19" s="74"/>
      <c r="BF19" s="9"/>
      <c r="BG19" s="74"/>
      <c r="BH19" s="9"/>
      <c r="BI19" s="74"/>
      <c r="BK19" s="9"/>
      <c r="BL19" s="74"/>
      <c r="BM19" s="9"/>
      <c r="BN19" s="74"/>
      <c r="BP19" s="9"/>
      <c r="BQ19" s="74"/>
      <c r="BR19" s="9"/>
      <c r="BS19" s="74"/>
      <c r="BU19" s="9"/>
      <c r="BV19" s="74"/>
      <c r="BW19" s="9"/>
      <c r="BX19" s="74"/>
      <c r="BZ19" s="9"/>
      <c r="CA19" s="74"/>
      <c r="CB19" s="9"/>
      <c r="CC19" s="9"/>
    </row>
    <row r="20" spans="1:81">
      <c r="A20" s="6" t="s">
        <v>23</v>
      </c>
      <c r="C20" s="9"/>
      <c r="D20" s="74"/>
      <c r="E20" s="9"/>
      <c r="F20" s="74"/>
      <c r="G20" s="8"/>
      <c r="H20" s="9"/>
      <c r="I20" s="74"/>
      <c r="J20" s="9"/>
      <c r="K20" s="74"/>
      <c r="M20" s="9"/>
      <c r="N20" s="74"/>
      <c r="O20" s="9"/>
      <c r="P20" s="74"/>
      <c r="R20" s="9"/>
      <c r="S20" s="74"/>
      <c r="T20" s="9"/>
      <c r="U20" s="74"/>
      <c r="W20" s="9"/>
      <c r="X20" s="74"/>
      <c r="Y20" s="9"/>
      <c r="Z20" s="74"/>
      <c r="AB20" s="9"/>
      <c r="AC20" s="74"/>
      <c r="AD20" s="9"/>
      <c r="AE20" s="74"/>
      <c r="AG20" s="9"/>
      <c r="AH20" s="74"/>
      <c r="AI20" s="9"/>
      <c r="AJ20" s="74"/>
      <c r="AL20" s="9"/>
      <c r="AM20" s="74"/>
      <c r="AN20" s="9"/>
      <c r="AO20" s="74"/>
      <c r="AQ20" s="9"/>
      <c r="AR20" s="74"/>
      <c r="AS20" s="9"/>
      <c r="AT20" s="74"/>
      <c r="AV20" s="9"/>
      <c r="AW20" s="74"/>
      <c r="AX20" s="9"/>
      <c r="AY20" s="74"/>
      <c r="BA20" s="9"/>
      <c r="BB20" s="74"/>
      <c r="BC20" s="9"/>
      <c r="BD20" s="74"/>
      <c r="BF20" s="9"/>
      <c r="BG20" s="74"/>
      <c r="BH20" s="9"/>
      <c r="BI20" s="74"/>
      <c r="BK20" s="9"/>
      <c r="BL20" s="74"/>
      <c r="BM20" s="9"/>
      <c r="BN20" s="74"/>
      <c r="BP20" s="9"/>
      <c r="BQ20" s="74"/>
      <c r="BR20" s="9"/>
      <c r="BS20" s="74"/>
      <c r="BU20" s="9"/>
      <c r="BV20" s="74"/>
      <c r="BW20" s="9"/>
      <c r="BX20" s="74"/>
      <c r="BZ20" s="9"/>
      <c r="CA20" s="74"/>
      <c r="CB20" s="9"/>
      <c r="CC20" s="9"/>
    </row>
    <row r="21" spans="1:81">
      <c r="A21" s="2" t="s">
        <v>29</v>
      </c>
      <c r="C21" s="9">
        <f>C41</f>
        <v>6397</v>
      </c>
      <c r="D21" s="74">
        <f>D41</f>
        <v>3894</v>
      </c>
      <c r="E21" s="9">
        <f>E41</f>
        <v>3790</v>
      </c>
      <c r="F21" s="74">
        <f>F41</f>
        <v>3762</v>
      </c>
      <c r="G21" s="8"/>
      <c r="H21" s="9">
        <f>H41</f>
        <v>3741</v>
      </c>
      <c r="I21" s="74">
        <f>I41</f>
        <v>3554</v>
      </c>
      <c r="J21" s="9">
        <f>J41</f>
        <v>3547</v>
      </c>
      <c r="K21" s="74">
        <f>K41</f>
        <v>2898</v>
      </c>
      <c r="M21" s="9">
        <v>2880</v>
      </c>
      <c r="N21" s="74">
        <v>2787</v>
      </c>
      <c r="O21" s="9">
        <v>2815</v>
      </c>
      <c r="P21" s="74">
        <v>2831</v>
      </c>
      <c r="R21" s="9">
        <v>2837</v>
      </c>
      <c r="S21" s="74">
        <v>2689</v>
      </c>
      <c r="T21" s="9">
        <v>2804</v>
      </c>
      <c r="U21" s="74">
        <v>2859</v>
      </c>
      <c r="W21" s="9">
        <v>2721</v>
      </c>
      <c r="X21" s="74">
        <v>2467</v>
      </c>
      <c r="Y21" s="9">
        <v>2603</v>
      </c>
      <c r="Z21" s="74">
        <v>2674</v>
      </c>
      <c r="AB21" s="9">
        <f>2742</f>
        <v>2742</v>
      </c>
      <c r="AC21" s="74">
        <v>2703</v>
      </c>
      <c r="AD21" s="9">
        <v>2573</v>
      </c>
      <c r="AE21" s="74">
        <v>2672</v>
      </c>
      <c r="AG21" s="9">
        <v>2711</v>
      </c>
      <c r="AH21" s="74">
        <v>2526</v>
      </c>
      <c r="AI21" s="9">
        <v>2663</v>
      </c>
      <c r="AJ21" s="74">
        <v>2787</v>
      </c>
      <c r="AL21" s="9">
        <v>2887</v>
      </c>
      <c r="AM21" s="74">
        <v>2847</v>
      </c>
      <c r="AN21" s="9">
        <v>2960</v>
      </c>
      <c r="AO21" s="74">
        <v>3246</v>
      </c>
      <c r="AQ21" s="9">
        <v>3337</v>
      </c>
      <c r="AR21" s="74">
        <v>3355</v>
      </c>
      <c r="AS21" s="9">
        <v>3598</v>
      </c>
      <c r="AT21" s="74">
        <v>3427</v>
      </c>
      <c r="AV21" s="9">
        <v>3451</v>
      </c>
      <c r="AW21" s="74">
        <v>3507.9</v>
      </c>
      <c r="AX21" s="9">
        <v>3538</v>
      </c>
      <c r="AY21" s="74">
        <v>3719</v>
      </c>
      <c r="BA21" s="9">
        <v>3810</v>
      </c>
      <c r="BB21" s="74">
        <v>4030</v>
      </c>
      <c r="BC21" s="9">
        <v>3992</v>
      </c>
      <c r="BD21" s="74">
        <v>4105</v>
      </c>
      <c r="BF21" s="9">
        <v>3989</v>
      </c>
      <c r="BG21" s="74">
        <v>3983</v>
      </c>
      <c r="BH21" s="9">
        <v>4000</v>
      </c>
      <c r="BI21" s="74">
        <v>4060</v>
      </c>
      <c r="BK21" s="9">
        <v>4116</v>
      </c>
      <c r="BL21" s="74">
        <v>5552</v>
      </c>
      <c r="BM21" s="9">
        <v>5650</v>
      </c>
      <c r="BN21" s="74">
        <v>5730</v>
      </c>
      <c r="BP21" s="9">
        <v>5571</v>
      </c>
      <c r="BQ21" s="74">
        <v>5603</v>
      </c>
      <c r="BR21" s="9">
        <v>5611</v>
      </c>
      <c r="BS21" s="74">
        <v>5667</v>
      </c>
      <c r="BU21" s="9">
        <v>5600</v>
      </c>
      <c r="BV21" s="74">
        <v>5685</v>
      </c>
      <c r="BW21" s="9">
        <v>5913</v>
      </c>
      <c r="BX21" s="74">
        <v>5969</v>
      </c>
      <c r="BZ21" s="9">
        <v>6310</v>
      </c>
      <c r="CA21" s="74">
        <v>5979</v>
      </c>
      <c r="CB21" s="9"/>
      <c r="CC21" s="9"/>
    </row>
    <row r="22" spans="1:81" s="87" customFormat="1">
      <c r="A22" s="87" t="s">
        <v>8</v>
      </c>
      <c r="B22" s="88"/>
      <c r="C22" s="89">
        <v>243</v>
      </c>
      <c r="D22" s="93">
        <v>243</v>
      </c>
      <c r="E22" s="89">
        <v>226</v>
      </c>
      <c r="F22" s="93">
        <v>222</v>
      </c>
      <c r="G22" s="91"/>
      <c r="H22" s="89">
        <v>197</v>
      </c>
      <c r="I22" s="93">
        <v>189</v>
      </c>
      <c r="J22" s="89">
        <v>176</v>
      </c>
      <c r="K22" s="93">
        <v>135</v>
      </c>
      <c r="L22" s="114"/>
      <c r="M22" s="89">
        <v>129</v>
      </c>
      <c r="N22" s="93">
        <v>129</v>
      </c>
      <c r="O22" s="89">
        <v>136</v>
      </c>
      <c r="P22" s="93">
        <v>126</v>
      </c>
      <c r="Q22" s="114"/>
      <c r="R22" s="89">
        <v>148</v>
      </c>
      <c r="S22" s="93">
        <v>150</v>
      </c>
      <c r="T22" s="89">
        <v>147</v>
      </c>
      <c r="U22" s="93">
        <v>141</v>
      </c>
      <c r="V22" s="114"/>
      <c r="W22" s="89">
        <v>62</v>
      </c>
      <c r="X22" s="93">
        <v>67</v>
      </c>
      <c r="Y22" s="89">
        <v>71</v>
      </c>
      <c r="Z22" s="93">
        <v>76</v>
      </c>
      <c r="AA22" s="114"/>
      <c r="AB22" s="89">
        <v>58</v>
      </c>
      <c r="AC22" s="93">
        <v>59</v>
      </c>
      <c r="AD22" s="89">
        <v>63</v>
      </c>
      <c r="AE22" s="93">
        <v>63</v>
      </c>
      <c r="AF22" s="114"/>
      <c r="AG22" s="89">
        <v>64</v>
      </c>
      <c r="AH22" s="93">
        <v>71</v>
      </c>
      <c r="AI22" s="89">
        <v>14</v>
      </c>
      <c r="AJ22" s="93">
        <v>19</v>
      </c>
      <c r="AK22" s="114"/>
      <c r="AL22" s="89">
        <v>20</v>
      </c>
      <c r="AM22" s="93">
        <v>25</v>
      </c>
      <c r="AN22" s="89">
        <v>29</v>
      </c>
      <c r="AO22" s="93">
        <v>37</v>
      </c>
      <c r="AP22" s="114"/>
      <c r="AQ22" s="89">
        <v>39</v>
      </c>
      <c r="AR22" s="93">
        <v>42</v>
      </c>
      <c r="AS22" s="89">
        <v>46</v>
      </c>
      <c r="AT22" s="93">
        <v>38</v>
      </c>
      <c r="AU22" s="114"/>
      <c r="AV22" s="89">
        <v>32</v>
      </c>
      <c r="AW22" s="93">
        <v>34.4</v>
      </c>
      <c r="AX22" s="89">
        <v>41</v>
      </c>
      <c r="AY22" s="93">
        <v>21</v>
      </c>
      <c r="BA22" s="89">
        <v>22</v>
      </c>
      <c r="BB22" s="93">
        <v>23</v>
      </c>
      <c r="BC22" s="89">
        <v>7</v>
      </c>
      <c r="BD22" s="93">
        <v>7</v>
      </c>
      <c r="BF22" s="89">
        <v>5</v>
      </c>
      <c r="BG22" s="93">
        <v>6</v>
      </c>
      <c r="BH22" s="89">
        <v>6</v>
      </c>
      <c r="BI22" s="93">
        <v>6</v>
      </c>
      <c r="BK22" s="89">
        <v>6</v>
      </c>
      <c r="BL22" s="93">
        <v>6</v>
      </c>
      <c r="BM22" s="89">
        <v>7</v>
      </c>
      <c r="BN22" s="93">
        <v>7</v>
      </c>
      <c r="BP22" s="89">
        <v>8</v>
      </c>
      <c r="BQ22" s="93">
        <v>7</v>
      </c>
      <c r="BR22" s="89">
        <v>7</v>
      </c>
      <c r="BS22" s="93">
        <v>7</v>
      </c>
      <c r="BU22" s="89">
        <v>6</v>
      </c>
      <c r="BV22" s="93">
        <v>6</v>
      </c>
      <c r="BW22" s="89">
        <v>6</v>
      </c>
      <c r="BX22" s="93">
        <v>6</v>
      </c>
      <c r="BZ22" s="89">
        <v>7</v>
      </c>
      <c r="CA22" s="93">
        <v>7</v>
      </c>
      <c r="CB22" s="89"/>
      <c r="CC22" s="89"/>
    </row>
    <row r="23" spans="1:81">
      <c r="A23" s="2" t="s">
        <v>204</v>
      </c>
      <c r="C23" s="9"/>
      <c r="D23" s="74"/>
      <c r="E23" s="9"/>
      <c r="F23" s="74"/>
      <c r="G23" s="8"/>
      <c r="H23" s="9"/>
      <c r="I23" s="74"/>
      <c r="J23" s="9"/>
      <c r="K23" s="74"/>
      <c r="M23" s="9"/>
      <c r="N23" s="74"/>
      <c r="O23" s="9"/>
      <c r="P23" s="74"/>
      <c r="R23" s="9"/>
      <c r="S23" s="74"/>
      <c r="T23" s="9"/>
      <c r="U23" s="74"/>
      <c r="W23" s="9">
        <f>SUM(W21:W22)</f>
        <v>2783</v>
      </c>
      <c r="X23" s="74">
        <f>SUM(X21:X22)</f>
        <v>2534</v>
      </c>
      <c r="Y23" s="9">
        <f>SUM(Y21:Y22)</f>
        <v>2674</v>
      </c>
      <c r="Z23" s="74">
        <f>SUM(Z21:Z22)</f>
        <v>2750</v>
      </c>
      <c r="AB23" s="9">
        <f>SUM(AB21:AB22)</f>
        <v>2800</v>
      </c>
      <c r="AC23" s="74">
        <f>SUM(AC21:AC22)</f>
        <v>2762</v>
      </c>
      <c r="AD23" s="9">
        <f>SUM(AD21:AD22)</f>
        <v>2636</v>
      </c>
      <c r="AE23" s="74">
        <f>SUM(AE21:AE22)</f>
        <v>2735</v>
      </c>
      <c r="AG23" s="9">
        <f>SUM(AG21:AG22)</f>
        <v>2775</v>
      </c>
      <c r="AH23" s="74">
        <f>SUM(AH21:AH22)</f>
        <v>2597</v>
      </c>
      <c r="AI23" s="9">
        <f>SUM(AI21:AI22)</f>
        <v>2677</v>
      </c>
      <c r="AJ23" s="74">
        <f>SUM(AJ21:AJ22)</f>
        <v>2806</v>
      </c>
      <c r="AL23" s="9">
        <f>SUM(AL21:AL22)</f>
        <v>2907</v>
      </c>
      <c r="AM23" s="74">
        <f>SUM(AM21:AM22)</f>
        <v>2872</v>
      </c>
      <c r="AN23" s="9">
        <f>SUM(AN21:AN22)</f>
        <v>2989</v>
      </c>
      <c r="AO23" s="74">
        <f>SUM(AO21:AO22)</f>
        <v>3283</v>
      </c>
      <c r="AQ23" s="9">
        <f>SUM(AQ21:AQ22)</f>
        <v>3376</v>
      </c>
      <c r="AR23" s="74">
        <f>SUM(AR21:AR22)</f>
        <v>3397</v>
      </c>
      <c r="AS23" s="9">
        <f>SUM(AS21:AS22)</f>
        <v>3644</v>
      </c>
      <c r="AT23" s="74">
        <f>SUM(AT21:AT22)</f>
        <v>3465</v>
      </c>
      <c r="AV23" s="9">
        <f>SUM(AV21:AV22)</f>
        <v>3483</v>
      </c>
      <c r="AW23" s="74">
        <f>SUM(AW21:AW22)</f>
        <v>3542.3</v>
      </c>
      <c r="AX23" s="9">
        <f>SUM(AX21:AX22)</f>
        <v>3579</v>
      </c>
      <c r="AY23" s="74">
        <f>SUM(AY21:AY22)</f>
        <v>3740</v>
      </c>
      <c r="BA23" s="9">
        <f>SUM(BA21:BA22)</f>
        <v>3832</v>
      </c>
      <c r="BB23" s="74">
        <f>SUM(BB21:BB22)</f>
        <v>4053</v>
      </c>
      <c r="BC23" s="9">
        <f>SUM(BC21:BC22)</f>
        <v>3999</v>
      </c>
      <c r="BD23" s="74">
        <f>SUM(BD21:BD22)</f>
        <v>4112</v>
      </c>
      <c r="BF23" s="9">
        <f>SUM(BF21:BF22)</f>
        <v>3994</v>
      </c>
      <c r="BG23" s="74">
        <f>SUM(BG21:BG22)</f>
        <v>3989</v>
      </c>
      <c r="BH23" s="9">
        <f>SUM(BH21:BH22)</f>
        <v>4006</v>
      </c>
      <c r="BI23" s="74">
        <f>SUM(BI21:BI22)</f>
        <v>4066</v>
      </c>
      <c r="BK23" s="9">
        <f>SUM(BK21:BK22)</f>
        <v>4122</v>
      </c>
      <c r="BL23" s="74">
        <f>SUM(BL21:BL22)</f>
        <v>5558</v>
      </c>
      <c r="BM23" s="9">
        <f>SUM(BM21:BM22)</f>
        <v>5657</v>
      </c>
      <c r="BN23" s="74">
        <f>SUM(BN21:BN22)</f>
        <v>5737</v>
      </c>
      <c r="BP23" s="9">
        <f>SUM(BP21:BP22)</f>
        <v>5579</v>
      </c>
      <c r="BQ23" s="74">
        <f>SUM(BQ21:BQ22)</f>
        <v>5610</v>
      </c>
      <c r="BR23" s="9">
        <f>SUM(BR21:BR22)</f>
        <v>5618</v>
      </c>
      <c r="BS23" s="74">
        <f>SUM(BS21:BS22)</f>
        <v>5674</v>
      </c>
      <c r="BU23" s="9">
        <f>SUM(BU21:BU22)</f>
        <v>5606</v>
      </c>
      <c r="BV23" s="74">
        <f>SUM(BV21:BV22)</f>
        <v>5691</v>
      </c>
      <c r="BW23" s="9">
        <f>SUM(BW21:BW22)</f>
        <v>5919</v>
      </c>
      <c r="BX23" s="74">
        <f>SUM(BX21:BX22)</f>
        <v>5975</v>
      </c>
      <c r="BZ23" s="9">
        <f>SUM(BZ21:BZ22)</f>
        <v>6317</v>
      </c>
      <c r="CA23" s="74">
        <f>SUM(CA21:CA22)</f>
        <v>5986</v>
      </c>
      <c r="CB23" s="9"/>
      <c r="CC23" s="9"/>
    </row>
    <row r="24" spans="1:81">
      <c r="A24" s="2" t="s">
        <v>60</v>
      </c>
      <c r="C24" s="9">
        <v>505</v>
      </c>
      <c r="D24" s="74">
        <v>477</v>
      </c>
      <c r="E24" s="9">
        <v>478</v>
      </c>
      <c r="F24" s="74">
        <v>418</v>
      </c>
      <c r="G24" s="8"/>
      <c r="H24" s="9">
        <v>380</v>
      </c>
      <c r="I24" s="74">
        <v>369</v>
      </c>
      <c r="J24" s="9">
        <v>372</v>
      </c>
      <c r="K24" s="74">
        <v>356</v>
      </c>
      <c r="M24" s="9">
        <v>352</v>
      </c>
      <c r="N24" s="74">
        <v>341</v>
      </c>
      <c r="O24" s="9">
        <v>340</v>
      </c>
      <c r="P24" s="74">
        <v>327</v>
      </c>
      <c r="R24" s="9">
        <v>329</v>
      </c>
      <c r="S24" s="74">
        <v>542</v>
      </c>
      <c r="T24" s="9">
        <v>530</v>
      </c>
      <c r="U24" s="74">
        <v>498</v>
      </c>
      <c r="W24" s="20">
        <f>6+269+49</f>
        <v>324</v>
      </c>
      <c r="X24" s="74">
        <f>7+283+13</f>
        <v>303</v>
      </c>
      <c r="Y24" s="9">
        <f>7+283+14</f>
        <v>304</v>
      </c>
      <c r="Z24" s="74">
        <v>300</v>
      </c>
      <c r="AB24" s="20">
        <f>8+284+14</f>
        <v>306</v>
      </c>
      <c r="AC24" s="74">
        <f>9+283+16</f>
        <v>308</v>
      </c>
      <c r="AD24" s="9">
        <v>307</v>
      </c>
      <c r="AE24" s="74">
        <v>315</v>
      </c>
      <c r="AG24" s="20">
        <v>325</v>
      </c>
      <c r="AH24" s="74">
        <v>329</v>
      </c>
      <c r="AI24" s="9">
        <v>322</v>
      </c>
      <c r="AJ24" s="74">
        <v>317</v>
      </c>
      <c r="AL24" s="20">
        <v>346</v>
      </c>
      <c r="AM24" s="74">
        <v>376</v>
      </c>
      <c r="AN24" s="9">
        <v>463</v>
      </c>
      <c r="AO24" s="74">
        <v>474</v>
      </c>
      <c r="AQ24" s="20">
        <v>509</v>
      </c>
      <c r="AR24" s="74">
        <v>515</v>
      </c>
      <c r="AS24" s="9">
        <f>125+286+98</f>
        <v>509</v>
      </c>
      <c r="AT24" s="74">
        <f>91+280+123</f>
        <v>494</v>
      </c>
      <c r="AV24" s="9">
        <v>493</v>
      </c>
      <c r="AW24" s="74">
        <f>369.9+144.2</f>
        <v>514.09999999999991</v>
      </c>
      <c r="AX24" s="9">
        <v>528</v>
      </c>
      <c r="AY24" s="74">
        <v>551</v>
      </c>
      <c r="BA24" s="9">
        <f>147+286+42</f>
        <v>475</v>
      </c>
      <c r="BB24" s="74">
        <v>548</v>
      </c>
      <c r="BC24" s="9">
        <v>573</v>
      </c>
      <c r="BD24" s="74">
        <v>583</v>
      </c>
      <c r="BF24" s="9">
        <v>552</v>
      </c>
      <c r="BG24" s="74">
        <v>507</v>
      </c>
      <c r="BH24" s="9">
        <v>471</v>
      </c>
      <c r="BI24" s="74">
        <v>608</v>
      </c>
      <c r="BK24" s="9">
        <v>563</v>
      </c>
      <c r="BL24" s="74">
        <v>534</v>
      </c>
      <c r="BM24" s="9">
        <v>551</v>
      </c>
      <c r="BN24" s="74">
        <v>661</v>
      </c>
      <c r="BP24" s="9">
        <v>679</v>
      </c>
      <c r="BQ24" s="74">
        <v>673</v>
      </c>
      <c r="BR24" s="9">
        <f>251+343+71</f>
        <v>665</v>
      </c>
      <c r="BS24" s="74">
        <f>345.8+342.3+69.5</f>
        <v>757.6</v>
      </c>
      <c r="BU24" s="9">
        <v>696</v>
      </c>
      <c r="BV24" s="74">
        <v>752</v>
      </c>
      <c r="BW24" s="9">
        <f>379+343+69</f>
        <v>791</v>
      </c>
      <c r="BX24" s="74">
        <v>873</v>
      </c>
      <c r="BZ24" s="9">
        <v>811</v>
      </c>
      <c r="CA24" s="74">
        <v>877</v>
      </c>
      <c r="CB24" s="9"/>
      <c r="CC24" s="9"/>
    </row>
    <row r="25" spans="1:81">
      <c r="A25" s="2" t="s">
        <v>151</v>
      </c>
      <c r="C25" s="9">
        <v>594</v>
      </c>
      <c r="D25" s="74">
        <v>600</v>
      </c>
      <c r="E25" s="9">
        <v>572</v>
      </c>
      <c r="F25" s="74">
        <v>510</v>
      </c>
      <c r="G25" s="8"/>
      <c r="H25" s="9">
        <v>407</v>
      </c>
      <c r="I25" s="74">
        <v>376</v>
      </c>
      <c r="J25" s="9">
        <v>377</v>
      </c>
      <c r="K25" s="74">
        <v>56</v>
      </c>
      <c r="M25" s="9">
        <v>58</v>
      </c>
      <c r="N25" s="74">
        <v>46</v>
      </c>
      <c r="O25" s="9">
        <v>49</v>
      </c>
      <c r="P25" s="74">
        <v>45</v>
      </c>
      <c r="R25" s="9">
        <v>45</v>
      </c>
      <c r="S25" s="74">
        <v>270</v>
      </c>
      <c r="T25" s="9">
        <v>777</v>
      </c>
      <c r="U25" s="74">
        <v>735</v>
      </c>
      <c r="W25" s="9">
        <v>45</v>
      </c>
      <c r="X25" s="74">
        <v>270</v>
      </c>
      <c r="Y25" s="9">
        <v>777</v>
      </c>
      <c r="Z25" s="74">
        <v>735</v>
      </c>
      <c r="AB25" s="9">
        <v>760</v>
      </c>
      <c r="AC25" s="74">
        <v>727</v>
      </c>
      <c r="AD25" s="9">
        <v>1014</v>
      </c>
      <c r="AE25" s="74">
        <v>981</v>
      </c>
      <c r="AG25" s="9">
        <v>981</v>
      </c>
      <c r="AH25" s="74">
        <v>980</v>
      </c>
      <c r="AI25" s="9">
        <v>980</v>
      </c>
      <c r="AJ25" s="74">
        <v>1477</v>
      </c>
      <c r="AL25" s="9">
        <v>1713</v>
      </c>
      <c r="AM25" s="74">
        <v>1721</v>
      </c>
      <c r="AN25" s="9">
        <v>1718</v>
      </c>
      <c r="AO25" s="74">
        <v>1343</v>
      </c>
      <c r="AQ25" s="9">
        <v>1410</v>
      </c>
      <c r="AR25" s="74">
        <v>1462</v>
      </c>
      <c r="AS25" s="9">
        <v>1436</v>
      </c>
      <c r="AT25" s="74">
        <v>1315</v>
      </c>
      <c r="AV25" s="9">
        <v>1230</v>
      </c>
      <c r="AW25" s="74">
        <v>1907</v>
      </c>
      <c r="AX25" s="9">
        <v>2166</v>
      </c>
      <c r="AY25" s="74">
        <v>1947</v>
      </c>
      <c r="BA25" s="9">
        <v>2352</v>
      </c>
      <c r="BB25" s="74">
        <v>2722</v>
      </c>
      <c r="BC25" s="9">
        <v>2868</v>
      </c>
      <c r="BD25" s="74">
        <v>3452</v>
      </c>
      <c r="BF25" s="9">
        <v>4098</v>
      </c>
      <c r="BG25" s="74">
        <v>4158</v>
      </c>
      <c r="BH25" s="9">
        <v>3671</v>
      </c>
      <c r="BI25" s="74">
        <v>3558</v>
      </c>
      <c r="BK25" s="9">
        <v>3874</v>
      </c>
      <c r="BL25" s="74">
        <v>1895</v>
      </c>
      <c r="BM25" s="9">
        <v>2012</v>
      </c>
      <c r="BN25" s="74">
        <v>544</v>
      </c>
      <c r="BP25" s="9">
        <v>1129</v>
      </c>
      <c r="BQ25" s="74">
        <v>1717</v>
      </c>
      <c r="BR25" s="9">
        <v>1717</v>
      </c>
      <c r="BS25" s="74">
        <v>2098</v>
      </c>
      <c r="BU25" s="9">
        <v>2083</v>
      </c>
      <c r="BV25" s="74">
        <v>1953</v>
      </c>
      <c r="BW25" s="9">
        <v>2135</v>
      </c>
      <c r="BX25" s="74">
        <v>1320</v>
      </c>
      <c r="BZ25" s="9">
        <v>1565</v>
      </c>
      <c r="CA25" s="74">
        <v>1875</v>
      </c>
      <c r="CB25" s="9"/>
      <c r="CC25" s="9"/>
    </row>
    <row r="26" spans="1:81">
      <c r="A26" s="2" t="s">
        <v>152</v>
      </c>
      <c r="C26" s="9">
        <v>594</v>
      </c>
      <c r="D26" s="74">
        <v>533</v>
      </c>
      <c r="E26" s="9">
        <v>497</v>
      </c>
      <c r="F26" s="74">
        <v>450</v>
      </c>
      <c r="G26" s="8"/>
      <c r="H26" s="9">
        <v>472</v>
      </c>
      <c r="I26" s="74">
        <v>460</v>
      </c>
      <c r="J26" s="9">
        <v>471</v>
      </c>
      <c r="K26" s="74">
        <v>412</v>
      </c>
      <c r="M26" s="9">
        <v>387</v>
      </c>
      <c r="N26" s="74">
        <v>353</v>
      </c>
      <c r="O26" s="9">
        <v>245</v>
      </c>
      <c r="P26" s="74">
        <v>245</v>
      </c>
      <c r="R26" s="9">
        <v>252</v>
      </c>
      <c r="S26" s="74">
        <v>1091</v>
      </c>
      <c r="T26" s="9">
        <v>316</v>
      </c>
      <c r="U26" s="74">
        <v>282</v>
      </c>
      <c r="W26" s="9">
        <v>236</v>
      </c>
      <c r="X26" s="74">
        <v>1052</v>
      </c>
      <c r="Y26" s="9">
        <v>268</v>
      </c>
      <c r="Z26" s="74">
        <v>223</v>
      </c>
      <c r="AB26" s="9">
        <v>184</v>
      </c>
      <c r="AC26" s="74">
        <v>269</v>
      </c>
      <c r="AD26" s="9">
        <v>241</v>
      </c>
      <c r="AE26" s="74">
        <v>218</v>
      </c>
      <c r="AG26" s="9">
        <v>474</v>
      </c>
      <c r="AH26" s="74">
        <v>774</v>
      </c>
      <c r="AI26" s="9">
        <v>572</v>
      </c>
      <c r="AJ26" s="74">
        <v>624</v>
      </c>
      <c r="AL26" s="9">
        <v>661</v>
      </c>
      <c r="AM26" s="74">
        <v>889</v>
      </c>
      <c r="AN26" s="9">
        <v>937</v>
      </c>
      <c r="AO26" s="74">
        <v>1205</v>
      </c>
      <c r="AQ26" s="9">
        <v>1266</v>
      </c>
      <c r="AR26" s="74">
        <v>1741</v>
      </c>
      <c r="AS26" s="9">
        <v>1664</v>
      </c>
      <c r="AT26" s="74">
        <v>1415</v>
      </c>
      <c r="AV26" s="9">
        <v>1243</v>
      </c>
      <c r="AW26" s="74">
        <v>826</v>
      </c>
      <c r="AX26" s="9">
        <v>619</v>
      </c>
      <c r="AY26" s="74">
        <v>926</v>
      </c>
      <c r="BA26" s="9">
        <v>1131</v>
      </c>
      <c r="BB26" s="74">
        <v>1338</v>
      </c>
      <c r="BC26" s="9">
        <v>1491</v>
      </c>
      <c r="BD26" s="74">
        <v>957</v>
      </c>
      <c r="BF26" s="9">
        <v>1031</v>
      </c>
      <c r="BG26" s="74">
        <v>1085</v>
      </c>
      <c r="BH26" s="9">
        <v>1227</v>
      </c>
      <c r="BI26" s="74">
        <v>1203</v>
      </c>
      <c r="BK26" s="9">
        <v>1008</v>
      </c>
      <c r="BL26" s="74">
        <v>1085</v>
      </c>
      <c r="BM26" s="9">
        <v>1081</v>
      </c>
      <c r="BN26" s="74">
        <v>1823</v>
      </c>
      <c r="BP26" s="9">
        <v>2094</v>
      </c>
      <c r="BQ26" s="74">
        <v>1662</v>
      </c>
      <c r="BR26" s="9">
        <v>1523</v>
      </c>
      <c r="BS26" s="74">
        <v>480</v>
      </c>
      <c r="BU26" s="9">
        <v>446</v>
      </c>
      <c r="BV26" s="74">
        <v>433</v>
      </c>
      <c r="BW26" s="9">
        <v>360</v>
      </c>
      <c r="BX26" s="74">
        <v>268</v>
      </c>
      <c r="BZ26" s="9">
        <v>143</v>
      </c>
      <c r="CA26" s="74">
        <v>115</v>
      </c>
      <c r="CB26" s="9"/>
      <c r="CC26" s="9"/>
    </row>
    <row r="27" spans="1:81" s="87" customFormat="1">
      <c r="A27" s="87" t="s">
        <v>113</v>
      </c>
      <c r="B27" s="88"/>
      <c r="C27" s="89">
        <v>1091</v>
      </c>
      <c r="D27" s="93">
        <v>1160</v>
      </c>
      <c r="E27" s="89">
        <v>1153</v>
      </c>
      <c r="F27" s="93">
        <v>1084</v>
      </c>
      <c r="G27" s="91"/>
      <c r="H27" s="89">
        <v>1049</v>
      </c>
      <c r="I27" s="93">
        <v>1044</v>
      </c>
      <c r="J27" s="89">
        <v>1052</v>
      </c>
      <c r="K27" s="93">
        <v>1177</v>
      </c>
      <c r="L27" s="114"/>
      <c r="M27" s="89">
        <v>1135</v>
      </c>
      <c r="N27" s="93">
        <v>1109</v>
      </c>
      <c r="O27" s="89">
        <v>1101</v>
      </c>
      <c r="P27" s="93">
        <v>1089</v>
      </c>
      <c r="Q27" s="114"/>
      <c r="R27" s="89">
        <v>1135</v>
      </c>
      <c r="S27" s="93">
        <v>1531</v>
      </c>
      <c r="T27" s="89">
        <v>1519</v>
      </c>
      <c r="U27" s="93">
        <v>1597</v>
      </c>
      <c r="V27" s="114"/>
      <c r="W27" s="89">
        <v>1235</v>
      </c>
      <c r="X27" s="93">
        <v>1865</v>
      </c>
      <c r="Y27" s="89">
        <v>1833</v>
      </c>
      <c r="Z27" s="93">
        <v>1861</v>
      </c>
      <c r="AA27" s="114"/>
      <c r="AB27" s="89">
        <v>1872</v>
      </c>
      <c r="AC27" s="93">
        <v>1965</v>
      </c>
      <c r="AD27" s="89">
        <v>1904</v>
      </c>
      <c r="AE27" s="93">
        <v>1928</v>
      </c>
      <c r="AF27" s="114"/>
      <c r="AG27" s="89">
        <v>1902</v>
      </c>
      <c r="AH27" s="93">
        <v>2236</v>
      </c>
      <c r="AI27" s="89">
        <v>2339</v>
      </c>
      <c r="AJ27" s="93">
        <v>2126</v>
      </c>
      <c r="AK27" s="114"/>
      <c r="AL27" s="89">
        <v>2363</v>
      </c>
      <c r="AM27" s="93">
        <v>2730</v>
      </c>
      <c r="AN27" s="89">
        <v>3054</v>
      </c>
      <c r="AO27" s="93">
        <f>1126+1668</f>
        <v>2794</v>
      </c>
      <c r="AP27" s="114"/>
      <c r="AQ27" s="89">
        <v>3094</v>
      </c>
      <c r="AR27" s="93">
        <v>3116</v>
      </c>
      <c r="AS27" s="89">
        <v>3056</v>
      </c>
      <c r="AT27" s="93">
        <f>2998+109+139</f>
        <v>3246</v>
      </c>
      <c r="AU27" s="114"/>
      <c r="AV27" s="89">
        <v>3286</v>
      </c>
      <c r="AW27" s="93">
        <f>117.2+984.1+1998.2</f>
        <v>3099.5</v>
      </c>
      <c r="AX27" s="89">
        <v>3201</v>
      </c>
      <c r="AY27" s="93">
        <v>2960</v>
      </c>
      <c r="BA27" s="89">
        <v>3371</v>
      </c>
      <c r="BB27" s="93">
        <v>3473</v>
      </c>
      <c r="BC27" s="89">
        <v>3422</v>
      </c>
      <c r="BD27" s="93">
        <v>3452</v>
      </c>
      <c r="BF27" s="89">
        <v>3985</v>
      </c>
      <c r="BG27" s="93">
        <v>3791</v>
      </c>
      <c r="BH27" s="89">
        <v>4232</v>
      </c>
      <c r="BI27" s="93">
        <v>4004</v>
      </c>
      <c r="BK27" s="89">
        <v>4204</v>
      </c>
      <c r="BL27" s="93">
        <v>4313</v>
      </c>
      <c r="BM27" s="89">
        <v>3907</v>
      </c>
      <c r="BN27" s="93">
        <v>4171</v>
      </c>
      <c r="BP27" s="89">
        <v>4180</v>
      </c>
      <c r="BQ27" s="93">
        <v>3683</v>
      </c>
      <c r="BR27" s="89">
        <v>4011</v>
      </c>
      <c r="BS27" s="93">
        <v>3985</v>
      </c>
      <c r="BU27" s="89">
        <v>4307</v>
      </c>
      <c r="BV27" s="93">
        <v>4222</v>
      </c>
      <c r="BW27" s="89">
        <v>4227</v>
      </c>
      <c r="BX27" s="93">
        <v>3902</v>
      </c>
      <c r="BZ27" s="89">
        <v>4957</v>
      </c>
      <c r="CA27" s="93">
        <v>5009</v>
      </c>
      <c r="CB27" s="89"/>
      <c r="CC27" s="89"/>
    </row>
    <row r="28" spans="1:81" s="121" customFormat="1">
      <c r="A28" s="121" t="s">
        <v>114</v>
      </c>
      <c r="B28" s="122"/>
      <c r="C28" s="103">
        <f>SUM(C21:C27)</f>
        <v>9424</v>
      </c>
      <c r="D28" s="104">
        <f>SUM(D21:D27)</f>
        <v>6907</v>
      </c>
      <c r="E28" s="103">
        <f>SUM(E21:E27)</f>
        <v>6716</v>
      </c>
      <c r="F28" s="104">
        <f>SUM(F21:F27)</f>
        <v>6446</v>
      </c>
      <c r="G28" s="98"/>
      <c r="H28" s="103">
        <f>SUM(H21:H27)</f>
        <v>6246</v>
      </c>
      <c r="I28" s="104">
        <f>SUM(I21:I27)</f>
        <v>5992</v>
      </c>
      <c r="J28" s="103">
        <f>SUM(J21:J27)</f>
        <v>5995</v>
      </c>
      <c r="K28" s="104">
        <f>SUM(K21:K27)</f>
        <v>5034</v>
      </c>
      <c r="L28" s="94"/>
      <c r="M28" s="103">
        <f>SUM(M21:M27)</f>
        <v>4941</v>
      </c>
      <c r="N28" s="104">
        <f>SUM(N21:N27)</f>
        <v>4765</v>
      </c>
      <c r="O28" s="103">
        <f>SUM(O21:O27)</f>
        <v>4686</v>
      </c>
      <c r="P28" s="104">
        <f>SUM(P21:P27)</f>
        <v>4663</v>
      </c>
      <c r="Q28" s="94"/>
      <c r="R28" s="103">
        <f>SUM(R21:R27)</f>
        <v>4746</v>
      </c>
      <c r="S28" s="104">
        <f>SUM(S21:S27)</f>
        <v>6273</v>
      </c>
      <c r="T28" s="103">
        <f>SUM(T21:T27)</f>
        <v>6093</v>
      </c>
      <c r="U28" s="104">
        <f>SUM(U21:U27)</f>
        <v>6112</v>
      </c>
      <c r="V28" s="94"/>
      <c r="W28" s="103">
        <f>SUM(W23:W27)</f>
        <v>4623</v>
      </c>
      <c r="X28" s="104">
        <f>SUM(X23:X27)</f>
        <v>6024</v>
      </c>
      <c r="Y28" s="103">
        <f>SUM(Y23:Y27)</f>
        <v>5856</v>
      </c>
      <c r="Z28" s="104">
        <f>SUM(Z23:Z27)</f>
        <v>5869</v>
      </c>
      <c r="AA28" s="94"/>
      <c r="AB28" s="103">
        <f>SUM(AB23:AB27)</f>
        <v>5922</v>
      </c>
      <c r="AC28" s="104">
        <f>SUM(AC23:AC27)</f>
        <v>6031</v>
      </c>
      <c r="AD28" s="103">
        <f>SUM(AD23:AD27)</f>
        <v>6102</v>
      </c>
      <c r="AE28" s="104">
        <f>SUM(AE23:AE27)</f>
        <v>6177</v>
      </c>
      <c r="AF28" s="94"/>
      <c r="AG28" s="103">
        <f>SUM(AG23:AG27)</f>
        <v>6457</v>
      </c>
      <c r="AH28" s="104">
        <f>SUM(AH23:AH27)</f>
        <v>6916</v>
      </c>
      <c r="AI28" s="103">
        <f>SUM(AI23:AI27)</f>
        <v>6890</v>
      </c>
      <c r="AJ28" s="104">
        <f>SUM(AJ23:AJ27)</f>
        <v>7350</v>
      </c>
      <c r="AK28" s="94"/>
      <c r="AL28" s="103">
        <f>SUM(AL23:AL27)</f>
        <v>7990</v>
      </c>
      <c r="AM28" s="104">
        <f>SUM(AM23:AM27)</f>
        <v>8588</v>
      </c>
      <c r="AN28" s="103">
        <f>SUM(AN23:AN27)</f>
        <v>9161</v>
      </c>
      <c r="AO28" s="104">
        <f>SUM(AO23:AO27)</f>
        <v>9099</v>
      </c>
      <c r="AP28" s="94"/>
      <c r="AQ28" s="103">
        <f>SUM(AQ23:AQ27)</f>
        <v>9655</v>
      </c>
      <c r="AR28" s="104">
        <f>SUM(AR23:AR27)</f>
        <v>10231</v>
      </c>
      <c r="AS28" s="103">
        <f>SUM(AS23:AS27)</f>
        <v>10309</v>
      </c>
      <c r="AT28" s="104">
        <f>SUM(AT23:AT27)</f>
        <v>9935</v>
      </c>
      <c r="AU28" s="94"/>
      <c r="AV28" s="103">
        <f>SUM(AV23:AV27)</f>
        <v>9735</v>
      </c>
      <c r="AW28" s="104">
        <f>SUM(AW23:AW27)</f>
        <v>9888.9</v>
      </c>
      <c r="AX28" s="103">
        <f>SUM(AX23:AX27)</f>
        <v>10093</v>
      </c>
      <c r="AY28" s="104">
        <f>SUM(AY23:AY27)</f>
        <v>10124</v>
      </c>
      <c r="BA28" s="103">
        <f>SUM(BA23:BA27)</f>
        <v>11161</v>
      </c>
      <c r="BB28" s="104">
        <f>SUM(BB23:BB27)</f>
        <v>12134</v>
      </c>
      <c r="BC28" s="103">
        <f>SUM(BC23:BC27)</f>
        <v>12353</v>
      </c>
      <c r="BD28" s="104">
        <f>SUM(BD23:BD27)</f>
        <v>12556</v>
      </c>
      <c r="BF28" s="103">
        <f>SUM(BF23:BF27)</f>
        <v>13660</v>
      </c>
      <c r="BG28" s="104">
        <f>SUM(BG23:BG27)</f>
        <v>13530</v>
      </c>
      <c r="BH28" s="103">
        <f>SUM(BH23:BH27)</f>
        <v>13607</v>
      </c>
      <c r="BI28" s="104">
        <f>SUM(BI23:BI27)</f>
        <v>13439</v>
      </c>
      <c r="BK28" s="103">
        <f>SUM(BK23:BK27)</f>
        <v>13771</v>
      </c>
      <c r="BL28" s="104">
        <f>SUM(BL23:BL27)</f>
        <v>13385</v>
      </c>
      <c r="BM28" s="103">
        <f>SUM(BM23:BM27)</f>
        <v>13208</v>
      </c>
      <c r="BN28" s="104">
        <f>SUM(BN23:BN27)</f>
        <v>12936</v>
      </c>
      <c r="BP28" s="103">
        <f>SUM(BP23:BP27)</f>
        <v>13661</v>
      </c>
      <c r="BQ28" s="104">
        <f>SUM(BQ23:BQ27)</f>
        <v>13345</v>
      </c>
      <c r="BR28" s="103">
        <f>SUM(BR23:BR27)</f>
        <v>13534</v>
      </c>
      <c r="BS28" s="104">
        <f>SUM(BS23:BS27)</f>
        <v>12994.6</v>
      </c>
      <c r="BU28" s="103">
        <f>SUM(BU23:BU27)</f>
        <v>13138</v>
      </c>
      <c r="BV28" s="104">
        <f>SUM(BV23:BV27)</f>
        <v>13051</v>
      </c>
      <c r="BW28" s="103">
        <f>SUM(BW23:BW27)</f>
        <v>13432</v>
      </c>
      <c r="BX28" s="104">
        <f>SUM(BX23:BX27)</f>
        <v>12338</v>
      </c>
      <c r="BZ28" s="103">
        <f>SUM(BZ23:BZ27)</f>
        <v>13793</v>
      </c>
      <c r="CA28" s="104">
        <f>SUM(CA23:CA27)</f>
        <v>13862</v>
      </c>
      <c r="CB28" s="103"/>
      <c r="CC28" s="103"/>
    </row>
    <row r="29" spans="1:81">
      <c r="C29" s="33" t="s">
        <v>63</v>
      </c>
      <c r="D29" s="129"/>
      <c r="E29" s="33"/>
      <c r="F29" s="129"/>
      <c r="H29" s="33"/>
      <c r="I29" s="129"/>
      <c r="J29" s="33"/>
      <c r="K29" s="129"/>
      <c r="M29" s="33"/>
      <c r="N29" s="129"/>
      <c r="O29" s="33"/>
      <c r="P29" s="129"/>
      <c r="R29" s="33"/>
      <c r="S29" s="129"/>
      <c r="T29" s="33"/>
      <c r="U29" s="125"/>
      <c r="W29" s="33"/>
      <c r="X29" s="129"/>
      <c r="Y29" s="33"/>
      <c r="Z29" s="125"/>
      <c r="AB29" s="33"/>
      <c r="AC29" s="129"/>
      <c r="AD29" s="33"/>
      <c r="AE29" s="125"/>
      <c r="AG29" s="33"/>
      <c r="AH29" s="129"/>
      <c r="AI29" s="33"/>
      <c r="AJ29" s="125"/>
      <c r="AL29" s="33"/>
      <c r="AM29" s="129"/>
      <c r="AN29" s="33"/>
      <c r="AO29" s="125"/>
      <c r="AQ29" s="33"/>
      <c r="AR29" s="129"/>
      <c r="AS29" s="33"/>
      <c r="AT29" s="125"/>
      <c r="AV29" s="33"/>
      <c r="AW29" s="129"/>
      <c r="AX29" s="33"/>
      <c r="AY29" s="125"/>
      <c r="BA29" s="33"/>
      <c r="BB29" s="129"/>
      <c r="BC29" s="33"/>
      <c r="BD29" s="125"/>
      <c r="BF29" s="33"/>
      <c r="BG29" s="125"/>
      <c r="BH29" s="33"/>
      <c r="BI29" s="125"/>
      <c r="BK29" s="33"/>
      <c r="BL29" s="125"/>
      <c r="BM29" s="33"/>
      <c r="BN29" s="125"/>
      <c r="BP29" s="33"/>
      <c r="BQ29" s="125"/>
      <c r="BR29" s="33"/>
      <c r="BS29" s="125"/>
      <c r="BU29" s="33"/>
      <c r="BV29" s="125"/>
      <c r="BW29" s="33"/>
      <c r="BX29" s="125"/>
      <c r="BZ29" s="33"/>
      <c r="CA29" s="125"/>
      <c r="CB29" s="33"/>
      <c r="CC29" s="13"/>
    </row>
    <row r="30" spans="1:81">
      <c r="A30" s="5"/>
      <c r="B30" s="5"/>
      <c r="C30" s="187"/>
      <c r="D30" s="188"/>
      <c r="E30" s="187"/>
      <c r="F30" s="188"/>
      <c r="H30" s="187"/>
      <c r="I30" s="188"/>
      <c r="J30" s="187"/>
      <c r="K30" s="188"/>
      <c r="L30" s="32"/>
      <c r="M30" s="187"/>
      <c r="N30" s="188"/>
      <c r="O30" s="187"/>
      <c r="P30" s="188"/>
      <c r="Q30" s="32"/>
      <c r="R30" s="187"/>
      <c r="S30" s="188"/>
      <c r="T30" s="187"/>
      <c r="U30" s="188"/>
      <c r="V30" s="32"/>
      <c r="W30" s="187"/>
      <c r="X30" s="188"/>
      <c r="Y30" s="187"/>
      <c r="Z30" s="188"/>
      <c r="AA30" s="32"/>
      <c r="AB30" s="189"/>
      <c r="AC30" s="190"/>
      <c r="AD30" s="189"/>
      <c r="AE30" s="190"/>
      <c r="AF30" s="32"/>
      <c r="AG30" s="189"/>
      <c r="AH30" s="190"/>
      <c r="AI30" s="189"/>
      <c r="AJ30" s="190"/>
      <c r="AK30" s="32"/>
      <c r="AL30" s="187"/>
      <c r="AM30" s="188"/>
      <c r="AN30" s="187"/>
      <c r="AO30" s="188"/>
      <c r="AP30" s="32"/>
      <c r="AQ30" s="110"/>
      <c r="AR30" s="126"/>
      <c r="AS30" s="110"/>
      <c r="AT30" s="126"/>
      <c r="AU30" s="32"/>
      <c r="AV30" s="187"/>
      <c r="AW30" s="188"/>
      <c r="AX30" s="187"/>
      <c r="AY30" s="188"/>
      <c r="BA30" s="187"/>
      <c r="BB30" s="188"/>
      <c r="BC30" s="187"/>
      <c r="BD30" s="188"/>
      <c r="BF30" s="187"/>
      <c r="BG30" s="188"/>
      <c r="BH30" s="187"/>
      <c r="BI30" s="188"/>
      <c r="BK30" s="187"/>
      <c r="BL30" s="188"/>
      <c r="BM30" s="187"/>
      <c r="BN30" s="188"/>
      <c r="BP30" s="187"/>
      <c r="BQ30" s="188"/>
      <c r="BR30" s="187"/>
      <c r="BS30" s="188"/>
      <c r="BU30" s="187"/>
      <c r="BV30" s="188"/>
      <c r="BW30" s="187"/>
      <c r="BX30" s="188"/>
      <c r="BZ30" s="187"/>
      <c r="CA30" s="188"/>
      <c r="CB30" s="187"/>
      <c r="CC30" s="187"/>
    </row>
    <row r="31" spans="1:81" s="80" customFormat="1">
      <c r="A31" s="77" t="s">
        <v>115</v>
      </c>
      <c r="B31" s="77"/>
      <c r="C31" s="100"/>
      <c r="D31" s="127"/>
      <c r="E31" s="100"/>
      <c r="F31" s="127"/>
      <c r="G31" s="102"/>
      <c r="H31" s="100"/>
      <c r="I31" s="127"/>
      <c r="J31" s="100"/>
      <c r="K31" s="127"/>
      <c r="L31" s="102"/>
      <c r="M31" s="100"/>
      <c r="N31" s="127"/>
      <c r="O31" s="100"/>
      <c r="P31" s="127"/>
      <c r="Q31" s="102"/>
      <c r="R31" s="100"/>
      <c r="S31" s="127"/>
      <c r="T31" s="100"/>
      <c r="U31" s="127"/>
      <c r="V31" s="102"/>
      <c r="W31" s="100"/>
      <c r="X31" s="127"/>
      <c r="Y31" s="100"/>
      <c r="Z31" s="127"/>
      <c r="AA31" s="102"/>
      <c r="AB31" s="100"/>
      <c r="AC31" s="127"/>
      <c r="AD31" s="100"/>
      <c r="AE31" s="127"/>
      <c r="AF31" s="102"/>
      <c r="AG31" s="100"/>
      <c r="AH31" s="127"/>
      <c r="AI31" s="100"/>
      <c r="AJ31" s="127"/>
      <c r="AK31" s="102"/>
      <c r="AL31" s="100"/>
      <c r="AM31" s="127"/>
      <c r="AN31" s="100"/>
      <c r="AO31" s="127"/>
      <c r="AP31" s="102"/>
      <c r="AQ31" s="100"/>
      <c r="AR31" s="127"/>
      <c r="AS31" s="100"/>
      <c r="AT31" s="127"/>
      <c r="AU31" s="102"/>
      <c r="AV31" s="100"/>
      <c r="AW31" s="127"/>
      <c r="AX31" s="100"/>
      <c r="AY31" s="127"/>
      <c r="BA31" s="100"/>
      <c r="BB31" s="127"/>
      <c r="BC31" s="100"/>
      <c r="BD31" s="127"/>
      <c r="BF31" s="100"/>
      <c r="BG31" s="127"/>
      <c r="BH31" s="100"/>
      <c r="BI31" s="127"/>
      <c r="BK31" s="100"/>
      <c r="BL31" s="127"/>
      <c r="BM31" s="100"/>
      <c r="BN31" s="127"/>
      <c r="BP31" s="100"/>
      <c r="BQ31" s="127"/>
      <c r="BR31" s="100"/>
      <c r="BS31" s="127"/>
      <c r="BU31" s="100"/>
      <c r="BV31" s="127"/>
      <c r="BW31" s="100"/>
      <c r="BX31" s="127"/>
      <c r="BZ31" s="100"/>
      <c r="CA31" s="127"/>
      <c r="CB31" s="100"/>
      <c r="CC31" s="100"/>
    </row>
    <row r="32" spans="1:81">
      <c r="D32" s="123"/>
      <c r="F32" s="123"/>
      <c r="I32" s="123"/>
      <c r="K32" s="123"/>
      <c r="N32" s="123"/>
      <c r="P32" s="123"/>
      <c r="S32" s="123"/>
      <c r="U32" s="123"/>
      <c r="X32" s="123"/>
      <c r="Z32" s="123"/>
      <c r="AC32" s="123"/>
      <c r="AE32" s="123"/>
      <c r="AH32" s="123"/>
      <c r="AJ32" s="123"/>
      <c r="AM32" s="123"/>
      <c r="AO32" s="123"/>
      <c r="AR32" s="123"/>
      <c r="AT32" s="123"/>
      <c r="AW32" s="123"/>
      <c r="AY32" s="123"/>
      <c r="BB32" s="123"/>
      <c r="BD32" s="123"/>
      <c r="BG32" s="123"/>
      <c r="BI32" s="123"/>
      <c r="BL32" s="123"/>
      <c r="BN32" s="123"/>
      <c r="BQ32" s="123"/>
      <c r="BS32" s="123"/>
      <c r="BV32" s="123"/>
      <c r="BX32" s="123"/>
      <c r="CA32" s="123"/>
    </row>
    <row r="33" spans="1:81">
      <c r="A33" s="2" t="s">
        <v>56</v>
      </c>
      <c r="C33" s="9">
        <v>4149</v>
      </c>
      <c r="D33" s="74">
        <f>C41</f>
        <v>6397</v>
      </c>
      <c r="E33" s="9">
        <f>D41</f>
        <v>3894</v>
      </c>
      <c r="F33" s="74">
        <f>E41</f>
        <v>3790</v>
      </c>
      <c r="G33" s="8"/>
      <c r="H33" s="9">
        <f>F41</f>
        <v>3762</v>
      </c>
      <c r="I33" s="74">
        <f>H41</f>
        <v>3741</v>
      </c>
      <c r="J33" s="9">
        <f>I41</f>
        <v>3554</v>
      </c>
      <c r="K33" s="74">
        <f>J41</f>
        <v>3547</v>
      </c>
      <c r="M33" s="9">
        <f>K41</f>
        <v>2898</v>
      </c>
      <c r="N33" s="74">
        <f>M41</f>
        <v>2880</v>
      </c>
      <c r="O33" s="9">
        <f>N41</f>
        <v>2787</v>
      </c>
      <c r="P33" s="74">
        <f>O41</f>
        <v>2815</v>
      </c>
      <c r="R33" s="9">
        <v>2831</v>
      </c>
      <c r="S33" s="74">
        <f>R41</f>
        <v>2837</v>
      </c>
      <c r="T33" s="9">
        <f>S41</f>
        <v>2689</v>
      </c>
      <c r="U33" s="74">
        <f>T41</f>
        <v>2804</v>
      </c>
      <c r="W33" s="9">
        <v>2957</v>
      </c>
      <c r="X33" s="74">
        <f>W41</f>
        <v>2783</v>
      </c>
      <c r="Y33" s="9">
        <f>X41</f>
        <v>2534</v>
      </c>
      <c r="Z33" s="74">
        <f>Y41</f>
        <v>2674</v>
      </c>
      <c r="AB33" s="9">
        <f>Z41</f>
        <v>2750</v>
      </c>
      <c r="AC33" s="74">
        <f>AB41</f>
        <v>2800</v>
      </c>
      <c r="AD33" s="9">
        <f>AC41</f>
        <v>2762</v>
      </c>
      <c r="AE33" s="74">
        <f>AD41</f>
        <v>2636</v>
      </c>
      <c r="AG33" s="9">
        <f>AE41</f>
        <v>2735</v>
      </c>
      <c r="AH33" s="74">
        <f>AG41</f>
        <v>2775</v>
      </c>
      <c r="AI33" s="9">
        <f>AH41</f>
        <v>2597</v>
      </c>
      <c r="AJ33" s="74">
        <f>AI41</f>
        <v>2677</v>
      </c>
      <c r="AL33" s="9">
        <f>AJ41</f>
        <v>2806</v>
      </c>
      <c r="AM33" s="74">
        <f>+AL41</f>
        <v>2907</v>
      </c>
      <c r="AN33" s="9">
        <f>+AM41</f>
        <v>2872</v>
      </c>
      <c r="AO33" s="74">
        <f>+AN41</f>
        <v>2989</v>
      </c>
      <c r="AQ33" s="9">
        <f>+AO41</f>
        <v>3283</v>
      </c>
      <c r="AR33" s="74">
        <f>+AQ41</f>
        <v>3376</v>
      </c>
      <c r="AS33" s="9">
        <f>+AR41</f>
        <v>3397</v>
      </c>
      <c r="AT33" s="74">
        <f>+AS41</f>
        <v>3644</v>
      </c>
      <c r="AV33" s="9">
        <f>+AT41</f>
        <v>3464.7</v>
      </c>
      <c r="AW33" s="74">
        <f>+AV41</f>
        <v>3482.7</v>
      </c>
      <c r="AX33" s="9">
        <f>+AW41</f>
        <v>3541.7</v>
      </c>
      <c r="AY33" s="74">
        <f>+AX41</f>
        <v>3578.7</v>
      </c>
      <c r="BA33" s="9">
        <f>+AY41</f>
        <v>3739.7</v>
      </c>
      <c r="BB33" s="74">
        <f>+BA41</f>
        <v>3831.7</v>
      </c>
      <c r="BC33" s="9">
        <f>+BB41</f>
        <v>4052.7</v>
      </c>
      <c r="BD33" s="74">
        <f>+BC41</f>
        <v>3998.7</v>
      </c>
      <c r="BF33" s="9">
        <f>+BD41</f>
        <v>4111.7</v>
      </c>
      <c r="BG33" s="74">
        <f>+BF41</f>
        <v>3993.7</v>
      </c>
      <c r="BH33" s="9">
        <f>+BG41</f>
        <v>3988.7</v>
      </c>
      <c r="BI33" s="74">
        <f>+BH41</f>
        <v>4005.7</v>
      </c>
      <c r="BK33" s="9">
        <f>+BI41</f>
        <v>4065.7</v>
      </c>
      <c r="BL33" s="74">
        <f>+BK41</f>
        <v>4121.7</v>
      </c>
      <c r="BM33" s="9">
        <f>+BL41</f>
        <v>5557.7</v>
      </c>
      <c r="BN33" s="74">
        <f>+BM41</f>
        <v>5656.7</v>
      </c>
      <c r="BP33" s="11">
        <f>+BN41</f>
        <v>5736.7</v>
      </c>
      <c r="BQ33" s="74">
        <f>+BP41</f>
        <v>5578.7</v>
      </c>
      <c r="BR33" s="9">
        <f>+BQ41</f>
        <v>5609.7</v>
      </c>
      <c r="BS33" s="74">
        <f>+BR41</f>
        <v>5617.7</v>
      </c>
      <c r="BU33" s="11">
        <f>+BS41</f>
        <v>5673.7</v>
      </c>
      <c r="BV33" s="74">
        <f>+BU41</f>
        <v>5605.7</v>
      </c>
      <c r="BW33" s="9">
        <f>+BV41</f>
        <v>5690.7</v>
      </c>
      <c r="BX33" s="74">
        <f>+BW41</f>
        <v>5918.7</v>
      </c>
      <c r="BZ33" s="11">
        <f>+BX41</f>
        <v>5974.7</v>
      </c>
      <c r="CA33" s="74">
        <f>+BZ41</f>
        <v>6316.7</v>
      </c>
      <c r="CB33" s="9"/>
      <c r="CC33" s="9"/>
    </row>
    <row r="34" spans="1:81" s="87" customFormat="1">
      <c r="A34" s="87" t="s">
        <v>30</v>
      </c>
      <c r="B34" s="88"/>
      <c r="C34" s="89">
        <v>2584</v>
      </c>
      <c r="D34" s="93">
        <v>0</v>
      </c>
      <c r="E34" s="89">
        <v>0</v>
      </c>
      <c r="F34" s="93">
        <v>0</v>
      </c>
      <c r="G34" s="91"/>
      <c r="H34" s="89">
        <v>0</v>
      </c>
      <c r="I34" s="93">
        <v>0</v>
      </c>
      <c r="J34" s="89">
        <v>0</v>
      </c>
      <c r="K34" s="93">
        <v>0</v>
      </c>
      <c r="L34" s="114"/>
      <c r="M34" s="89">
        <v>0</v>
      </c>
      <c r="N34" s="93">
        <v>0</v>
      </c>
      <c r="O34" s="89">
        <v>0</v>
      </c>
      <c r="P34" s="93">
        <v>0</v>
      </c>
      <c r="Q34" s="114"/>
      <c r="R34" s="89">
        <v>0</v>
      </c>
      <c r="S34" s="93">
        <v>0</v>
      </c>
      <c r="T34" s="89">
        <v>0</v>
      </c>
      <c r="U34" s="93">
        <v>0</v>
      </c>
      <c r="V34" s="114"/>
      <c r="W34" s="89">
        <v>-194</v>
      </c>
      <c r="X34" s="93">
        <v>0</v>
      </c>
      <c r="Y34" s="89">
        <v>0</v>
      </c>
      <c r="Z34" s="93">
        <v>0</v>
      </c>
      <c r="AA34" s="114"/>
      <c r="AB34" s="89"/>
      <c r="AC34" s="93">
        <v>0</v>
      </c>
      <c r="AD34" s="89">
        <v>0</v>
      </c>
      <c r="AE34" s="93">
        <v>0</v>
      </c>
      <c r="AF34" s="114"/>
      <c r="AG34" s="89">
        <v>0</v>
      </c>
      <c r="AH34" s="93">
        <v>0</v>
      </c>
      <c r="AI34" s="89">
        <v>0</v>
      </c>
      <c r="AJ34" s="93">
        <v>0</v>
      </c>
      <c r="AK34" s="114"/>
      <c r="AL34" s="89">
        <v>0</v>
      </c>
      <c r="AM34" s="93">
        <v>0</v>
      </c>
      <c r="AN34" s="89">
        <v>0</v>
      </c>
      <c r="AO34" s="93">
        <v>0</v>
      </c>
      <c r="AP34" s="114"/>
      <c r="AQ34" s="89">
        <v>0</v>
      </c>
      <c r="AR34" s="93">
        <v>0</v>
      </c>
      <c r="AS34" s="89">
        <v>0</v>
      </c>
      <c r="AT34" s="93">
        <v>0</v>
      </c>
      <c r="AU34" s="114"/>
      <c r="AV34" s="89">
        <v>0</v>
      </c>
      <c r="AW34" s="93">
        <v>0</v>
      </c>
      <c r="AX34" s="89">
        <v>0</v>
      </c>
      <c r="AY34" s="93">
        <v>0</v>
      </c>
      <c r="BA34" s="89">
        <v>0</v>
      </c>
      <c r="BB34" s="93">
        <v>0</v>
      </c>
      <c r="BC34" s="89">
        <v>0</v>
      </c>
      <c r="BD34" s="93">
        <v>0</v>
      </c>
      <c r="BF34" s="89">
        <v>0</v>
      </c>
      <c r="BG34" s="93">
        <v>0</v>
      </c>
      <c r="BH34" s="89">
        <v>0</v>
      </c>
      <c r="BI34" s="93">
        <v>0</v>
      </c>
      <c r="BK34" s="89">
        <v>0</v>
      </c>
      <c r="BL34" s="93">
        <v>0</v>
      </c>
      <c r="BM34" s="89">
        <v>0</v>
      </c>
      <c r="BN34" s="93">
        <v>0</v>
      </c>
      <c r="BP34" s="92">
        <v>0</v>
      </c>
      <c r="BQ34" s="93">
        <v>0</v>
      </c>
      <c r="BR34" s="89">
        <v>0</v>
      </c>
      <c r="BS34" s="93">
        <v>0</v>
      </c>
      <c r="BU34" s="92">
        <v>0</v>
      </c>
      <c r="BV34" s="93">
        <v>0</v>
      </c>
      <c r="BW34" s="89">
        <v>0</v>
      </c>
      <c r="BX34" s="93">
        <v>0</v>
      </c>
      <c r="BZ34" s="92">
        <v>0</v>
      </c>
      <c r="CA34" s="93">
        <v>0</v>
      </c>
      <c r="CB34" s="89"/>
      <c r="CC34" s="89"/>
    </row>
    <row r="35" spans="1:81">
      <c r="A35" s="2" t="s">
        <v>140</v>
      </c>
      <c r="C35" s="9">
        <f>SUM(C33:C34)</f>
        <v>6733</v>
      </c>
      <c r="D35" s="74">
        <f>SUM(D33:D34)</f>
        <v>6397</v>
      </c>
      <c r="E35" s="9">
        <f>SUM(E33:E34)</f>
        <v>3894</v>
      </c>
      <c r="F35" s="74">
        <f>SUM(F33:F34)</f>
        <v>3790</v>
      </c>
      <c r="G35" s="8"/>
      <c r="H35" s="9">
        <f>SUM(H33:H34)</f>
        <v>3762</v>
      </c>
      <c r="I35" s="74">
        <f>SUM(I33:I34)</f>
        <v>3741</v>
      </c>
      <c r="J35" s="9">
        <f>SUM(J33:J34)</f>
        <v>3554</v>
      </c>
      <c r="K35" s="74">
        <f>SUM(K33:K34)</f>
        <v>3547</v>
      </c>
      <c r="M35" s="9">
        <f>SUM(M33:M34)</f>
        <v>2898</v>
      </c>
      <c r="N35" s="74">
        <f>SUM(N33:N34)</f>
        <v>2880</v>
      </c>
      <c r="O35" s="9">
        <f>SUM(O33:O34)</f>
        <v>2787</v>
      </c>
      <c r="P35" s="74">
        <f>SUM(P33:P34)</f>
        <v>2815</v>
      </c>
      <c r="R35" s="9">
        <f>SUM(R33:R34)</f>
        <v>2831</v>
      </c>
      <c r="S35" s="74">
        <f>SUM(S33:S34)</f>
        <v>2837</v>
      </c>
      <c r="T35" s="9">
        <f>SUM(T33:T34)</f>
        <v>2689</v>
      </c>
      <c r="U35" s="74">
        <f>SUM(U33:U34)</f>
        <v>2804</v>
      </c>
      <c r="W35" s="9">
        <f>SUM(W33:W34)</f>
        <v>2763</v>
      </c>
      <c r="X35" s="74">
        <f>SUM(X33:X34)</f>
        <v>2783</v>
      </c>
      <c r="Y35" s="9">
        <f>SUM(Y33:Y34)</f>
        <v>2534</v>
      </c>
      <c r="Z35" s="74">
        <f>SUM(Z33:Z34)</f>
        <v>2674</v>
      </c>
      <c r="AB35" s="9">
        <f>SUM(AB33:AB34)</f>
        <v>2750</v>
      </c>
      <c r="AC35" s="74">
        <f>SUM(AC33:AC34)</f>
        <v>2800</v>
      </c>
      <c r="AD35" s="9">
        <f>SUM(AD33:AD34)</f>
        <v>2762</v>
      </c>
      <c r="AE35" s="74">
        <f>SUM(AE33:AE34)</f>
        <v>2636</v>
      </c>
      <c r="AG35" s="9">
        <f>SUM(AG33:AG34)</f>
        <v>2735</v>
      </c>
      <c r="AH35" s="74">
        <f>SUM(AH33:AH34)</f>
        <v>2775</v>
      </c>
      <c r="AI35" s="9">
        <f>SUM(AI33:AI34)</f>
        <v>2597</v>
      </c>
      <c r="AJ35" s="74">
        <f>SUM(AJ33:AJ34)</f>
        <v>2677</v>
      </c>
      <c r="AL35" s="9">
        <f>SUM(AL33:AL34)</f>
        <v>2806</v>
      </c>
      <c r="AM35" s="74">
        <f>SUM(AM33:AM34)</f>
        <v>2907</v>
      </c>
      <c r="AN35" s="9">
        <f>SUM(AN33:AN34)</f>
        <v>2872</v>
      </c>
      <c r="AO35" s="74">
        <f>SUM(AO33:AO34)</f>
        <v>2989</v>
      </c>
      <c r="AQ35" s="9">
        <f>SUM(AQ33:AQ34)</f>
        <v>3283</v>
      </c>
      <c r="AR35" s="74">
        <f>SUM(AR33:AR34)</f>
        <v>3376</v>
      </c>
      <c r="AS35" s="9">
        <f>SUM(AS33:AS34)</f>
        <v>3397</v>
      </c>
      <c r="AT35" s="74">
        <f>SUM(AT33:AT34)</f>
        <v>3644</v>
      </c>
      <c r="AV35" s="9">
        <f>SUM(AV33:AV34)</f>
        <v>3464.7</v>
      </c>
      <c r="AW35" s="74">
        <f>SUM(AW33:AW34)</f>
        <v>3482.7</v>
      </c>
      <c r="AX35" s="9">
        <f>SUM(AX33:AX34)</f>
        <v>3541.7</v>
      </c>
      <c r="AY35" s="74">
        <f>SUM(AY33:AY34)</f>
        <v>3578.7</v>
      </c>
      <c r="BA35" s="9">
        <f>SUM(BA33:BA34)</f>
        <v>3739.7</v>
      </c>
      <c r="BB35" s="74">
        <f>SUM(BB33:BB34)</f>
        <v>3831.7</v>
      </c>
      <c r="BC35" s="9">
        <f>SUM(BC33:BC34)</f>
        <v>4052.7</v>
      </c>
      <c r="BD35" s="74">
        <f>SUM(BD33:BD34)</f>
        <v>3998.7</v>
      </c>
      <c r="BF35" s="9">
        <f>SUM(BF33:BF34)</f>
        <v>4111.7</v>
      </c>
      <c r="BG35" s="74">
        <f>SUM(BG33:BG34)</f>
        <v>3993.7</v>
      </c>
      <c r="BH35" s="9">
        <f>SUM(BH33:BH34)</f>
        <v>3988.7</v>
      </c>
      <c r="BI35" s="74">
        <f>SUM(BI33:BI34)</f>
        <v>4005.7</v>
      </c>
      <c r="BK35" s="9">
        <f>SUM(BK33:BK34)</f>
        <v>4065.7</v>
      </c>
      <c r="BL35" s="74">
        <f>SUM(BL33:BL34)</f>
        <v>4121.7</v>
      </c>
      <c r="BM35" s="9">
        <f>SUM(BM33:BM34)</f>
        <v>5557.7</v>
      </c>
      <c r="BN35" s="74">
        <f>SUM(BN33:BN34)</f>
        <v>5656.7</v>
      </c>
      <c r="BP35" s="11">
        <f>SUM(BP33:BP34)</f>
        <v>5736.7</v>
      </c>
      <c r="BQ35" s="74">
        <f>SUM(BQ33:BQ34)</f>
        <v>5578.7</v>
      </c>
      <c r="BR35" s="11">
        <f>SUM(BR33:BR34)</f>
        <v>5609.7</v>
      </c>
      <c r="BS35" s="74">
        <f>SUM(BS33:BS34)</f>
        <v>5617.7</v>
      </c>
      <c r="BU35" s="11">
        <f>SUM(BU33:BU34)</f>
        <v>5673.7</v>
      </c>
      <c r="BV35" s="74">
        <f>SUM(BV33:BV34)</f>
        <v>5605.7</v>
      </c>
      <c r="BW35" s="11">
        <f>SUM(BW33:BW34)</f>
        <v>5690.7</v>
      </c>
      <c r="BX35" s="74">
        <f>SUM(BX33:BX34)</f>
        <v>5918.7</v>
      </c>
      <c r="BZ35" s="11">
        <f>SUM(BZ33:BZ34)</f>
        <v>5974.7</v>
      </c>
      <c r="CA35" s="74">
        <f>+CA34+CA33</f>
        <v>6316.7</v>
      </c>
      <c r="CB35" s="11"/>
      <c r="CC35" s="11"/>
    </row>
    <row r="36" spans="1:81">
      <c r="A36" s="2" t="s">
        <v>116</v>
      </c>
      <c r="C36" s="9">
        <f>' Financial Highlights'!C21</f>
        <v>-1</v>
      </c>
      <c r="D36" s="74">
        <f>' Financial Highlights'!D21</f>
        <v>76</v>
      </c>
      <c r="E36" s="9">
        <f>' Financial Highlights'!E21</f>
        <v>-46</v>
      </c>
      <c r="F36" s="74">
        <f>' Financial Highlights'!F21</f>
        <v>-62</v>
      </c>
      <c r="G36" s="8"/>
      <c r="H36" s="9">
        <f>' Financial Highlights'!I21</f>
        <v>-32</v>
      </c>
      <c r="I36" s="74">
        <f>' Financial Highlights'!J21</f>
        <v>-23</v>
      </c>
      <c r="J36" s="9">
        <f>' Financial Highlights'!K21</f>
        <v>0</v>
      </c>
      <c r="K36" s="74">
        <f>' Financial Highlights'!L21</f>
        <v>-641</v>
      </c>
      <c r="M36" s="9">
        <v>-2</v>
      </c>
      <c r="N36" s="74">
        <v>23</v>
      </c>
      <c r="O36" s="9">
        <v>33</v>
      </c>
      <c r="P36" s="74">
        <v>31</v>
      </c>
      <c r="R36" s="9">
        <v>3</v>
      </c>
      <c r="S36" s="74">
        <v>45</v>
      </c>
      <c r="T36" s="9">
        <v>108</v>
      </c>
      <c r="U36" s="74">
        <v>106</v>
      </c>
      <c r="W36" s="9">
        <f>' Financial Highlights'!AA19</f>
        <v>17</v>
      </c>
      <c r="X36" s="74">
        <f>' Financial Highlights'!AB19</f>
        <v>-59</v>
      </c>
      <c r="Y36" s="9">
        <f>' Financial Highlights'!AC19</f>
        <v>134</v>
      </c>
      <c r="Z36" s="74">
        <f>' Financial Highlights'!AD19</f>
        <v>106</v>
      </c>
      <c r="AB36" s="9">
        <v>53</v>
      </c>
      <c r="AC36" s="74">
        <v>105</v>
      </c>
      <c r="AD36" s="9">
        <v>117</v>
      </c>
      <c r="AE36" s="74">
        <v>86</v>
      </c>
      <c r="AG36" s="9">
        <v>85</v>
      </c>
      <c r="AH36" s="74">
        <v>228</v>
      </c>
      <c r="AI36" s="9">
        <v>146</v>
      </c>
      <c r="AJ36" s="74">
        <v>144</v>
      </c>
      <c r="AL36" s="9">
        <v>120</v>
      </c>
      <c r="AM36" s="74">
        <v>224</v>
      </c>
      <c r="AN36" s="9">
        <v>167</v>
      </c>
      <c r="AO36" s="74">
        <v>309</v>
      </c>
      <c r="AQ36" s="9">
        <v>138</v>
      </c>
      <c r="AR36" s="74">
        <v>232</v>
      </c>
      <c r="AS36" s="9">
        <v>139</v>
      </c>
      <c r="AT36" s="74">
        <v>-105</v>
      </c>
      <c r="AV36" s="34">
        <v>0</v>
      </c>
      <c r="AW36" s="74">
        <v>94</v>
      </c>
      <c r="AX36" s="9">
        <v>71</v>
      </c>
      <c r="AY36" s="74">
        <v>73</v>
      </c>
      <c r="BA36" s="34">
        <v>65</v>
      </c>
      <c r="BB36" s="74">
        <v>97</v>
      </c>
      <c r="BC36" s="9">
        <v>80</v>
      </c>
      <c r="BD36" s="74">
        <v>28</v>
      </c>
      <c r="BF36" s="9">
        <f>+' Financial Highlights'!BQ19</f>
        <v>51</v>
      </c>
      <c r="BG36" s="74">
        <f>+' Financial Highlights'!BR19</f>
        <v>30</v>
      </c>
      <c r="BH36" s="9">
        <f>+' Financial Highlights'!BS19</f>
        <v>43</v>
      </c>
      <c r="BI36" s="74">
        <f>+' Financial Highlights'!BT19</f>
        <v>3</v>
      </c>
      <c r="BK36" s="9">
        <v>31</v>
      </c>
      <c r="BL36" s="74">
        <f>+' Financial Highlights'!BX19</f>
        <v>1439</v>
      </c>
      <c r="BM36" s="9">
        <f>+' Financial Highlights'!BY19</f>
        <v>37</v>
      </c>
      <c r="BN36" s="74">
        <f>+' Financial Highlights'!BZ19</f>
        <v>99</v>
      </c>
      <c r="BP36" s="11">
        <v>25</v>
      </c>
      <c r="BQ36" s="74">
        <v>76</v>
      </c>
      <c r="BR36" s="9">
        <v>53</v>
      </c>
      <c r="BS36" s="74">
        <v>99</v>
      </c>
      <c r="BU36" s="11">
        <f>+' Financial Highlights'!CI19</f>
        <v>87</v>
      </c>
      <c r="BV36" s="74">
        <f>+' Financial Highlights'!CJ19</f>
        <v>47</v>
      </c>
      <c r="BW36" s="11">
        <f>+' Financial Highlights'!CK19</f>
        <v>60</v>
      </c>
      <c r="BX36" s="74">
        <f>+' Financial Highlights'!CL19</f>
        <v>86</v>
      </c>
      <c r="BZ36" s="11">
        <f>+' Financial Highlights'!CO19</f>
        <v>91</v>
      </c>
      <c r="CA36" s="74">
        <f>+' Financial Highlights'!CP19</f>
        <v>-206</v>
      </c>
      <c r="CB36" s="11"/>
      <c r="CC36" s="11"/>
    </row>
    <row r="37" spans="1:81">
      <c r="A37" s="2" t="s">
        <v>166</v>
      </c>
      <c r="C37" s="9"/>
      <c r="D37" s="74"/>
      <c r="E37" s="9"/>
      <c r="F37" s="74"/>
      <c r="G37" s="8"/>
      <c r="H37" s="9"/>
      <c r="I37" s="74"/>
      <c r="J37" s="9"/>
      <c r="K37" s="74"/>
      <c r="M37" s="9"/>
      <c r="N37" s="74"/>
      <c r="O37" s="9"/>
      <c r="P37" s="74"/>
      <c r="R37" s="9"/>
      <c r="S37" s="74"/>
      <c r="T37" s="9"/>
      <c r="U37" s="74"/>
      <c r="W37" s="9"/>
      <c r="X37" s="74"/>
      <c r="Y37" s="9"/>
      <c r="Z37" s="74"/>
      <c r="AB37" s="9"/>
      <c r="AC37" s="74"/>
      <c r="AD37" s="9"/>
      <c r="AE37" s="74"/>
      <c r="AG37" s="9"/>
      <c r="AH37" s="74"/>
      <c r="AI37" s="9"/>
      <c r="AJ37" s="74"/>
      <c r="AL37" s="9"/>
      <c r="AM37" s="74"/>
      <c r="AN37" s="9"/>
      <c r="AO37" s="74"/>
      <c r="AQ37" s="9"/>
      <c r="AR37" s="74"/>
      <c r="AS37" s="9"/>
      <c r="AT37" s="74"/>
      <c r="AV37" s="34"/>
      <c r="AW37" s="74"/>
      <c r="AX37" s="9"/>
      <c r="AY37" s="74"/>
      <c r="BA37" s="34"/>
      <c r="BB37" s="74"/>
      <c r="BC37" s="9"/>
      <c r="BD37" s="74"/>
      <c r="BF37" s="9"/>
      <c r="BG37" s="74"/>
      <c r="BH37" s="9"/>
      <c r="BI37" s="74"/>
      <c r="BK37" s="9"/>
      <c r="BL37" s="74"/>
      <c r="BM37" s="9"/>
      <c r="BN37" s="74"/>
      <c r="BP37" s="11">
        <v>-28</v>
      </c>
      <c r="BQ37" s="74">
        <v>0</v>
      </c>
      <c r="BR37" s="9">
        <v>0</v>
      </c>
      <c r="BS37" s="74">
        <v>-2</v>
      </c>
      <c r="BU37" s="11">
        <v>0</v>
      </c>
      <c r="BV37" s="74">
        <v>0</v>
      </c>
      <c r="BW37" s="9">
        <v>0</v>
      </c>
      <c r="BX37" s="74">
        <v>-68</v>
      </c>
      <c r="BZ37" s="11">
        <v>0</v>
      </c>
      <c r="CA37" s="74">
        <v>0</v>
      </c>
      <c r="CB37" s="9"/>
      <c r="CC37" s="11"/>
    </row>
    <row r="38" spans="1:81">
      <c r="A38" s="2" t="s">
        <v>117</v>
      </c>
      <c r="C38" s="9">
        <v>33</v>
      </c>
      <c r="D38" s="74">
        <v>33</v>
      </c>
      <c r="E38" s="9">
        <v>-58</v>
      </c>
      <c r="F38" s="74">
        <v>40</v>
      </c>
      <c r="G38" s="8"/>
      <c r="H38" s="9">
        <v>7</v>
      </c>
      <c r="I38" s="74">
        <v>-65</v>
      </c>
      <c r="J38" s="9">
        <v>-7</v>
      </c>
      <c r="K38" s="74">
        <v>-8</v>
      </c>
      <c r="M38" s="9">
        <v>-19</v>
      </c>
      <c r="N38" s="74">
        <v>-18</v>
      </c>
      <c r="O38" s="9">
        <v>-5</v>
      </c>
      <c r="P38" s="74">
        <v>-15</v>
      </c>
      <c r="R38" s="9">
        <v>3</v>
      </c>
      <c r="S38" s="74">
        <v>3</v>
      </c>
      <c r="T38" s="9">
        <v>7</v>
      </c>
      <c r="U38" s="74">
        <v>-51</v>
      </c>
      <c r="W38" s="9">
        <v>3</v>
      </c>
      <c r="X38" s="74">
        <v>6</v>
      </c>
      <c r="Y38" s="9">
        <v>6</v>
      </c>
      <c r="Z38" s="74">
        <v>-30</v>
      </c>
      <c r="AB38" s="9">
        <v>9</v>
      </c>
      <c r="AC38" s="74">
        <v>53</v>
      </c>
      <c r="AD38" s="9">
        <v>33</v>
      </c>
      <c r="AE38" s="74">
        <v>13</v>
      </c>
      <c r="AG38" s="9">
        <v>19</v>
      </c>
      <c r="AH38" s="74">
        <v>-125</v>
      </c>
      <c r="AI38" s="9">
        <v>-66</v>
      </c>
      <c r="AJ38" s="74">
        <v>-15</v>
      </c>
      <c r="AL38" s="9">
        <v>-26</v>
      </c>
      <c r="AM38" s="74">
        <v>-33</v>
      </c>
      <c r="AN38" s="9">
        <v>-50</v>
      </c>
      <c r="AO38" s="74">
        <v>-15</v>
      </c>
      <c r="AQ38" s="9">
        <v>-49</v>
      </c>
      <c r="AR38" s="74">
        <v>37</v>
      </c>
      <c r="AS38" s="9">
        <v>107</v>
      </c>
      <c r="AT38" s="74">
        <v>-75.3</v>
      </c>
      <c r="AV38" s="11">
        <v>17</v>
      </c>
      <c r="AW38" s="74">
        <v>-37</v>
      </c>
      <c r="AX38" s="27">
        <v>-35</v>
      </c>
      <c r="AY38" s="74">
        <v>87</v>
      </c>
      <c r="BA38" s="11">
        <f>-3+111</f>
        <v>108</v>
      </c>
      <c r="BB38" s="74">
        <v>119</v>
      </c>
      <c r="BC38" s="27">
        <v>-135</v>
      </c>
      <c r="BD38" s="74">
        <v>84</v>
      </c>
      <c r="BF38" s="11">
        <v>-123</v>
      </c>
      <c r="BG38" s="74">
        <v>-37</v>
      </c>
      <c r="BH38" s="27">
        <v>-27</v>
      </c>
      <c r="BI38" s="74">
        <v>57</v>
      </c>
      <c r="BK38" s="11">
        <v>50</v>
      </c>
      <c r="BL38" s="74">
        <v>-4</v>
      </c>
      <c r="BM38" s="27">
        <v>60</v>
      </c>
      <c r="BN38" s="74">
        <v>-20</v>
      </c>
      <c r="BP38" s="11">
        <v>28</v>
      </c>
      <c r="BQ38" s="74">
        <v>-46</v>
      </c>
      <c r="BR38" s="27">
        <v>-46</v>
      </c>
      <c r="BS38" s="74">
        <v>-45</v>
      </c>
      <c r="BU38" s="11">
        <v>-72</v>
      </c>
      <c r="BV38" s="74">
        <v>37</v>
      </c>
      <c r="BW38" s="27">
        <v>168</v>
      </c>
      <c r="BX38" s="74">
        <v>38</v>
      </c>
      <c r="BZ38" s="11">
        <v>263</v>
      </c>
      <c r="CA38" s="74">
        <f>137-263</f>
        <v>-126</v>
      </c>
      <c r="CB38" s="27"/>
      <c r="CC38" s="11"/>
    </row>
    <row r="39" spans="1:81">
      <c r="A39" s="2" t="s">
        <v>118</v>
      </c>
      <c r="C39" s="9">
        <v>-368</v>
      </c>
      <c r="D39" s="74">
        <v>194</v>
      </c>
      <c r="E39" s="9">
        <v>0</v>
      </c>
      <c r="F39" s="74">
        <v>-6</v>
      </c>
      <c r="G39" s="8"/>
      <c r="H39" s="9">
        <v>4</v>
      </c>
      <c r="I39" s="74">
        <v>1</v>
      </c>
      <c r="J39" s="9">
        <v>0</v>
      </c>
      <c r="K39" s="74">
        <v>0</v>
      </c>
      <c r="M39" s="9">
        <v>3</v>
      </c>
      <c r="N39" s="74">
        <v>2</v>
      </c>
      <c r="O39" s="9">
        <v>0</v>
      </c>
      <c r="P39" s="74">
        <v>0</v>
      </c>
      <c r="R39" s="9">
        <v>0</v>
      </c>
      <c r="S39" s="74">
        <v>4</v>
      </c>
      <c r="T39" s="9">
        <v>0</v>
      </c>
      <c r="U39" s="74">
        <v>0</v>
      </c>
      <c r="W39" s="9"/>
      <c r="X39" s="74">
        <v>4</v>
      </c>
      <c r="Y39" s="9"/>
      <c r="Z39" s="74"/>
      <c r="AB39" s="9">
        <v>-12</v>
      </c>
      <c r="AC39" s="74"/>
      <c r="AD39" s="9">
        <v>-276</v>
      </c>
      <c r="AE39" s="74"/>
      <c r="AG39" s="9">
        <v>-64</v>
      </c>
      <c r="AH39" s="74">
        <v>13</v>
      </c>
      <c r="AI39" s="9">
        <v>0</v>
      </c>
      <c r="AJ39" s="74">
        <v>0</v>
      </c>
      <c r="AL39" s="9">
        <v>7</v>
      </c>
      <c r="AM39" s="74">
        <v>10</v>
      </c>
      <c r="AN39" s="9">
        <v>0</v>
      </c>
      <c r="AO39" s="74">
        <v>0</v>
      </c>
      <c r="AQ39" s="9">
        <v>4</v>
      </c>
      <c r="AR39" s="74">
        <v>12</v>
      </c>
      <c r="AS39" s="9">
        <v>1</v>
      </c>
      <c r="AT39" s="74">
        <v>1</v>
      </c>
      <c r="AV39" s="11">
        <v>1</v>
      </c>
      <c r="AW39" s="74">
        <v>2</v>
      </c>
      <c r="AX39" s="11">
        <v>1</v>
      </c>
      <c r="AY39" s="74">
        <v>1</v>
      </c>
      <c r="BA39" s="11">
        <v>2</v>
      </c>
      <c r="BB39" s="74">
        <v>5</v>
      </c>
      <c r="BC39" s="11">
        <v>1</v>
      </c>
      <c r="BD39" s="74">
        <v>1</v>
      </c>
      <c r="BF39" s="11">
        <v>1</v>
      </c>
      <c r="BG39" s="74">
        <v>2</v>
      </c>
      <c r="BH39" s="11">
        <v>1</v>
      </c>
      <c r="BI39" s="74">
        <v>0</v>
      </c>
      <c r="BK39" s="11">
        <f>1+22</f>
        <v>23</v>
      </c>
      <c r="BL39" s="74">
        <v>1</v>
      </c>
      <c r="BM39" s="11">
        <v>2</v>
      </c>
      <c r="BN39" s="74">
        <v>1</v>
      </c>
      <c r="BP39" s="11">
        <v>8</v>
      </c>
      <c r="BQ39" s="74">
        <v>1</v>
      </c>
      <c r="BR39" s="11">
        <v>1</v>
      </c>
      <c r="BS39" s="74">
        <v>4</v>
      </c>
      <c r="BU39" s="11">
        <v>1</v>
      </c>
      <c r="BV39" s="74">
        <v>1</v>
      </c>
      <c r="BW39" s="11">
        <v>0</v>
      </c>
      <c r="BX39" s="74">
        <v>0</v>
      </c>
      <c r="BZ39" s="11">
        <v>85</v>
      </c>
      <c r="CA39" s="74">
        <v>1</v>
      </c>
      <c r="CB39" s="11"/>
      <c r="CC39" s="11"/>
    </row>
    <row r="40" spans="1:81" s="87" customFormat="1">
      <c r="A40" s="87" t="s">
        <v>161</v>
      </c>
      <c r="B40" s="88"/>
      <c r="C40" s="89">
        <v>0</v>
      </c>
      <c r="D40" s="93">
        <v>-2806</v>
      </c>
      <c r="E40" s="89">
        <v>0</v>
      </c>
      <c r="F40" s="93">
        <v>0</v>
      </c>
      <c r="G40" s="91"/>
      <c r="H40" s="89">
        <v>0</v>
      </c>
      <c r="I40" s="93">
        <v>-100</v>
      </c>
      <c r="J40" s="89">
        <v>0</v>
      </c>
      <c r="K40" s="93">
        <v>0</v>
      </c>
      <c r="L40" s="114"/>
      <c r="M40" s="89">
        <v>0</v>
      </c>
      <c r="N40" s="93">
        <v>-100</v>
      </c>
      <c r="O40" s="89">
        <v>0</v>
      </c>
      <c r="P40" s="93">
        <v>0</v>
      </c>
      <c r="Q40" s="114"/>
      <c r="R40" s="89">
        <v>0</v>
      </c>
      <c r="S40" s="93">
        <v>-200</v>
      </c>
      <c r="T40" s="89">
        <v>0</v>
      </c>
      <c r="U40" s="93">
        <v>0</v>
      </c>
      <c r="V40" s="114"/>
      <c r="W40" s="89">
        <v>0</v>
      </c>
      <c r="X40" s="93">
        <v>-200</v>
      </c>
      <c r="Y40" s="89">
        <v>0</v>
      </c>
      <c r="Z40" s="93">
        <v>0</v>
      </c>
      <c r="AA40" s="114"/>
      <c r="AB40" s="89">
        <v>0</v>
      </c>
      <c r="AC40" s="93">
        <v>-196</v>
      </c>
      <c r="AD40" s="89">
        <v>0</v>
      </c>
      <c r="AE40" s="93">
        <v>0</v>
      </c>
      <c r="AF40" s="114"/>
      <c r="AG40" s="89">
        <v>0</v>
      </c>
      <c r="AH40" s="93">
        <v>-294</v>
      </c>
      <c r="AI40" s="89">
        <v>0</v>
      </c>
      <c r="AJ40" s="93">
        <v>0</v>
      </c>
      <c r="AK40" s="114"/>
      <c r="AL40" s="89">
        <v>0</v>
      </c>
      <c r="AM40" s="93">
        <v>-236</v>
      </c>
      <c r="AN40" s="89">
        <v>0</v>
      </c>
      <c r="AO40" s="93">
        <v>0</v>
      </c>
      <c r="AP40" s="114"/>
      <c r="AQ40" s="89">
        <v>0</v>
      </c>
      <c r="AR40" s="93">
        <v>-260</v>
      </c>
      <c r="AS40" s="89">
        <v>0</v>
      </c>
      <c r="AT40" s="93">
        <v>0</v>
      </c>
      <c r="AU40" s="114"/>
      <c r="AV40" s="89">
        <v>0</v>
      </c>
      <c r="AW40" s="93">
        <v>0</v>
      </c>
      <c r="AX40" s="115">
        <v>0</v>
      </c>
      <c r="AY40" s="93">
        <v>0</v>
      </c>
      <c r="BA40" s="89">
        <v>-83</v>
      </c>
      <c r="BB40" s="93">
        <v>0</v>
      </c>
      <c r="BC40" s="115">
        <v>0</v>
      </c>
      <c r="BD40" s="93">
        <v>0</v>
      </c>
      <c r="BF40" s="89">
        <v>-47</v>
      </c>
      <c r="BG40" s="93">
        <v>0</v>
      </c>
      <c r="BH40" s="115">
        <v>0</v>
      </c>
      <c r="BI40" s="93">
        <v>0</v>
      </c>
      <c r="BK40" s="89">
        <v>-48</v>
      </c>
      <c r="BL40" s="93">
        <v>0</v>
      </c>
      <c r="BM40" s="115">
        <v>0</v>
      </c>
      <c r="BN40" s="93">
        <v>0</v>
      </c>
      <c r="BP40" s="92">
        <v>-191</v>
      </c>
      <c r="BQ40" s="93">
        <v>0</v>
      </c>
      <c r="BR40" s="115">
        <v>0</v>
      </c>
      <c r="BS40" s="93">
        <v>0</v>
      </c>
      <c r="BU40" s="92">
        <v>-84</v>
      </c>
      <c r="BV40" s="93">
        <v>0</v>
      </c>
      <c r="BW40" s="115">
        <v>0</v>
      </c>
      <c r="BX40" s="93">
        <v>0</v>
      </c>
      <c r="BZ40" s="92">
        <v>-97</v>
      </c>
      <c r="CA40" s="93">
        <v>0</v>
      </c>
      <c r="CB40" s="115"/>
      <c r="CC40" s="92"/>
    </row>
    <row r="41" spans="1:81" s="67" customFormat="1" ht="13.5" thickBot="1">
      <c r="A41" s="67" t="s">
        <v>57</v>
      </c>
      <c r="B41" s="68"/>
      <c r="C41" s="113">
        <f>SUM(C35:C40)</f>
        <v>6397</v>
      </c>
      <c r="D41" s="128">
        <f>SUM(D35:D40)</f>
        <v>3894</v>
      </c>
      <c r="E41" s="113">
        <f>SUM(E35:E40)</f>
        <v>3790</v>
      </c>
      <c r="F41" s="128">
        <f>SUM(F35:F40)</f>
        <v>3762</v>
      </c>
      <c r="G41" s="111"/>
      <c r="H41" s="113">
        <f>SUM(H35:H40)</f>
        <v>3741</v>
      </c>
      <c r="I41" s="128">
        <f>SUM(I35:I40)</f>
        <v>3554</v>
      </c>
      <c r="J41" s="113">
        <f>SUM(J35:J40)</f>
        <v>3547</v>
      </c>
      <c r="K41" s="128">
        <f>SUM(K35:K40)</f>
        <v>2898</v>
      </c>
      <c r="L41" s="112"/>
      <c r="M41" s="113">
        <f>SUM(M35:M40)</f>
        <v>2880</v>
      </c>
      <c r="N41" s="128">
        <f>SUM(N35:N40)</f>
        <v>2787</v>
      </c>
      <c r="O41" s="113">
        <f>SUM(O35:O40)</f>
        <v>2815</v>
      </c>
      <c r="P41" s="128">
        <f>SUM(P35:P40)</f>
        <v>2831</v>
      </c>
      <c r="Q41" s="112"/>
      <c r="R41" s="113">
        <f>SUM(R35:R40)</f>
        <v>2837</v>
      </c>
      <c r="S41" s="128">
        <f>SUM(S35:S40)</f>
        <v>2689</v>
      </c>
      <c r="T41" s="113">
        <f>SUM(T35:T40)</f>
        <v>2804</v>
      </c>
      <c r="U41" s="128">
        <f>SUM(U35:U40)</f>
        <v>2859</v>
      </c>
      <c r="V41" s="112"/>
      <c r="W41" s="113">
        <f>SUM(W35:W40)</f>
        <v>2783</v>
      </c>
      <c r="X41" s="128">
        <f>SUM(X35:X40)</f>
        <v>2534</v>
      </c>
      <c r="Y41" s="113">
        <f>SUM(Y35:Y40)</f>
        <v>2674</v>
      </c>
      <c r="Z41" s="128">
        <f>SUM(Z35:Z40)</f>
        <v>2750</v>
      </c>
      <c r="AA41" s="112"/>
      <c r="AB41" s="113">
        <f>SUM(AB35:AB40)</f>
        <v>2800</v>
      </c>
      <c r="AC41" s="128">
        <f>SUM(AC35:AC40)</f>
        <v>2762</v>
      </c>
      <c r="AD41" s="113">
        <f>SUM(AD35:AD40)</f>
        <v>2636</v>
      </c>
      <c r="AE41" s="128">
        <f>SUM(AE35:AE40)</f>
        <v>2735</v>
      </c>
      <c r="AF41" s="112"/>
      <c r="AG41" s="113">
        <f>SUM(AG35:AG40)</f>
        <v>2775</v>
      </c>
      <c r="AH41" s="128">
        <f>SUM(AH35:AH40)</f>
        <v>2597</v>
      </c>
      <c r="AI41" s="113">
        <f>SUM(AI35:AI40)</f>
        <v>2677</v>
      </c>
      <c r="AJ41" s="128">
        <f>SUM(AJ35:AJ40)</f>
        <v>2806</v>
      </c>
      <c r="AK41" s="112"/>
      <c r="AL41" s="113">
        <f>SUM(AL35:AL40)</f>
        <v>2907</v>
      </c>
      <c r="AM41" s="128">
        <f>SUM(AM35:AM40)</f>
        <v>2872</v>
      </c>
      <c r="AN41" s="113">
        <f>SUM(AN35:AN40)</f>
        <v>2989</v>
      </c>
      <c r="AO41" s="128">
        <f>SUM(AO35:AO40)</f>
        <v>3283</v>
      </c>
      <c r="AP41" s="112"/>
      <c r="AQ41" s="113">
        <f>SUM(AQ35:AQ40)</f>
        <v>3376</v>
      </c>
      <c r="AR41" s="128">
        <f>SUM(AR35:AR40)</f>
        <v>3397</v>
      </c>
      <c r="AS41" s="113">
        <f>SUM(AS35:AS40)</f>
        <v>3644</v>
      </c>
      <c r="AT41" s="128">
        <f>SUM(AT35:AT40)</f>
        <v>3464.7</v>
      </c>
      <c r="AU41" s="112"/>
      <c r="AV41" s="113">
        <f>SUM(AV35:AV40)</f>
        <v>3482.7</v>
      </c>
      <c r="AW41" s="128">
        <f>SUM(AW35:AW40)</f>
        <v>3541.7</v>
      </c>
      <c r="AX41" s="113">
        <f>SUM(AX35:AX40)</f>
        <v>3578.7</v>
      </c>
      <c r="AY41" s="128">
        <f>SUM(AY35:AY40)</f>
        <v>3739.7</v>
      </c>
      <c r="BA41" s="113">
        <f>SUM(BA35:BA40)</f>
        <v>3831.7</v>
      </c>
      <c r="BB41" s="128">
        <f>SUM(BB35:BB40)</f>
        <v>4052.7</v>
      </c>
      <c r="BC41" s="113">
        <f>SUM(BC35:BC40)</f>
        <v>3998.7</v>
      </c>
      <c r="BD41" s="128">
        <f>SUM(BD35:BD40)</f>
        <v>4111.7</v>
      </c>
      <c r="BF41" s="113">
        <f>SUM(BF35:BF40)</f>
        <v>3993.7</v>
      </c>
      <c r="BG41" s="128">
        <f>SUM(BG35:BG40)</f>
        <v>3988.7</v>
      </c>
      <c r="BH41" s="113">
        <f>SUM(BH35:BH40)</f>
        <v>4005.7</v>
      </c>
      <c r="BI41" s="128">
        <f>SUM(BI35:BI40)</f>
        <v>4065.7</v>
      </c>
      <c r="BK41" s="113">
        <f>SUM(BK35:BK40)</f>
        <v>4121.7</v>
      </c>
      <c r="BL41" s="128">
        <f>SUM(BL35:BL40)</f>
        <v>5557.7</v>
      </c>
      <c r="BM41" s="108">
        <f>SUM(BM35:BM40)</f>
        <v>5656.7</v>
      </c>
      <c r="BN41" s="128">
        <f>SUM(BN35:BN40)</f>
        <v>5736.7</v>
      </c>
      <c r="BP41" s="108">
        <f>SUM(BP35:BP40)</f>
        <v>5578.7</v>
      </c>
      <c r="BQ41" s="128">
        <f>SUM(BQ35:BQ40)</f>
        <v>5609.7</v>
      </c>
      <c r="BR41" s="108">
        <f>SUM(BR35:BR40)</f>
        <v>5617.7</v>
      </c>
      <c r="BS41" s="128">
        <f>SUM(BS35:BS40)</f>
        <v>5673.7</v>
      </c>
      <c r="BU41" s="108">
        <f>SUM(BU35:BU40)</f>
        <v>5605.7</v>
      </c>
      <c r="BV41" s="128">
        <f>SUM(BV35:BV40)</f>
        <v>5690.7</v>
      </c>
      <c r="BW41" s="108">
        <f>SUM(BW35:BW40)</f>
        <v>5918.7</v>
      </c>
      <c r="BX41" s="128">
        <f>SUM(BX35:BX40)</f>
        <v>5974.7</v>
      </c>
      <c r="BZ41" s="108">
        <f>SUM(BZ35:BZ40)</f>
        <v>6316.7</v>
      </c>
      <c r="CA41" s="128">
        <f>SUM(CA35:CA40)</f>
        <v>5985.7</v>
      </c>
      <c r="CB41" s="108"/>
      <c r="CC41" s="108"/>
    </row>
    <row r="42" spans="1:81">
      <c r="AV42" s="9"/>
      <c r="AW42" s="9"/>
      <c r="AX42" s="9"/>
      <c r="AY42" s="9"/>
      <c r="BA42" s="9"/>
      <c r="BB42" s="9"/>
      <c r="BC42" s="9"/>
      <c r="BD42" s="9"/>
      <c r="BP42" s="3"/>
      <c r="BQ42" s="3"/>
      <c r="BU42" s="35"/>
      <c r="BV42" s="3"/>
      <c r="BZ42" s="35"/>
      <c r="CA42" s="3"/>
    </row>
  </sheetData>
  <mergeCells count="32">
    <mergeCell ref="M2:P2"/>
    <mergeCell ref="AB2:AE2"/>
    <mergeCell ref="R2:U2"/>
    <mergeCell ref="W2:Z2"/>
    <mergeCell ref="BU1:BX1"/>
    <mergeCell ref="BU2:BX2"/>
    <mergeCell ref="BK1:BN1"/>
    <mergeCell ref="BA1:BD1"/>
    <mergeCell ref="BA2:BD2"/>
    <mergeCell ref="BF1:BI1"/>
    <mergeCell ref="BF2:BI2"/>
    <mergeCell ref="AG2:AJ2"/>
    <mergeCell ref="BP1:BS1"/>
    <mergeCell ref="BP2:BS2"/>
    <mergeCell ref="AV1:AY1"/>
    <mergeCell ref="AQ2:AT2"/>
    <mergeCell ref="AG1:AJ1"/>
    <mergeCell ref="BZ1:CC1"/>
    <mergeCell ref="BZ2:CC2"/>
    <mergeCell ref="C1:G1"/>
    <mergeCell ref="H1:L1"/>
    <mergeCell ref="M1:Q1"/>
    <mergeCell ref="R1:V1"/>
    <mergeCell ref="W1:Z1"/>
    <mergeCell ref="AL1:AO1"/>
    <mergeCell ref="AQ1:AT1"/>
    <mergeCell ref="AL2:AO2"/>
    <mergeCell ref="AV2:AY2"/>
    <mergeCell ref="AB1:AE1"/>
    <mergeCell ref="BK2:BN2"/>
    <mergeCell ref="C2:F2"/>
    <mergeCell ref="H2:K2"/>
  </mergeCells>
  <phoneticPr fontId="0" type="noConversion"/>
  <pageMargins left="0.43307086614173229" right="0.35433070866141736" top="0.55118110236220474" bottom="0.59055118110236227" header="0.51181102362204722" footer="0.51181102362204722"/>
  <pageSetup paperSize="9" scale="7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S36"/>
  <sheetViews>
    <sheetView showGridLines="0" zoomScaleNormal="100" zoomScaleSheetLayoutView="75" workbookViewId="0">
      <pane xSplit="1" ySplit="4" topLeftCell="BU8" activePane="bottomRight" state="frozen"/>
      <selection activeCell="C28" sqref="C28"/>
      <selection pane="topRight" activeCell="C28" sqref="C28"/>
      <selection pane="bottomLeft" activeCell="C28" sqref="C28"/>
      <selection pane="bottomRight" activeCell="C28" sqref="C28"/>
    </sheetView>
  </sheetViews>
  <sheetFormatPr defaultColWidth="9.140625" defaultRowHeight="12.75"/>
  <cols>
    <col min="1" max="1" width="36.140625" style="2" customWidth="1"/>
    <col min="2" max="2" width="4.7109375" style="3" customWidth="1"/>
    <col min="3" max="6" width="8.7109375" style="2" customWidth="1"/>
    <col min="7" max="7" width="8.7109375" style="6" customWidth="1"/>
    <col min="8" max="8" width="4.7109375" style="4" customWidth="1"/>
    <col min="9" max="12" width="8.7109375" style="2" customWidth="1"/>
    <col min="13" max="13" width="8.7109375" style="6" customWidth="1"/>
    <col min="14" max="14" width="4.7109375" style="2" customWidth="1"/>
    <col min="15" max="18" width="8.7109375" style="2" customWidth="1"/>
    <col min="19" max="19" width="8.7109375" style="6" customWidth="1"/>
    <col min="20" max="20" width="4.7109375" style="2" customWidth="1"/>
    <col min="21" max="24" width="8.7109375" style="2" customWidth="1"/>
    <col min="25" max="25" width="8.7109375" style="6" customWidth="1"/>
    <col min="26" max="26" width="4.7109375" style="2" customWidth="1"/>
    <col min="27" max="30" width="8.7109375" style="2" customWidth="1"/>
    <col min="31" max="31" width="8.7109375" style="6" customWidth="1"/>
    <col min="32" max="32" width="4.7109375" style="2" customWidth="1"/>
    <col min="33" max="36" width="8.7109375" style="2" customWidth="1"/>
    <col min="37" max="37" width="8.7109375" style="6" customWidth="1"/>
    <col min="38" max="38" width="4.7109375" style="2" customWidth="1"/>
    <col min="39" max="42" width="8.7109375" style="2" customWidth="1"/>
    <col min="43" max="43" width="8.7109375" style="6" customWidth="1"/>
    <col min="44" max="44" width="4.7109375" style="2" customWidth="1"/>
    <col min="45" max="48" width="8.7109375" style="2" customWidth="1"/>
    <col min="49" max="49" width="8.7109375" style="6" customWidth="1"/>
    <col min="50" max="50" width="4.7109375" style="2" customWidth="1"/>
    <col min="51" max="51" width="8.7109375" style="2" customWidth="1" collapsed="1"/>
    <col min="52" max="54" width="8.7109375" style="2" customWidth="1"/>
    <col min="55" max="55" width="8.7109375" style="6" customWidth="1"/>
    <col min="56" max="56" width="4.7109375" style="2" customWidth="1"/>
    <col min="57" max="60" width="8.7109375" style="2" customWidth="1"/>
    <col min="61" max="61" width="8.7109375" style="6" customWidth="1"/>
    <col min="62" max="62" width="4.7109375" style="2" customWidth="1"/>
    <col min="63" max="66" width="8.7109375" style="2" customWidth="1"/>
    <col min="67" max="67" width="8.7109375" style="6" customWidth="1"/>
    <col min="68" max="68" width="4.7109375" style="2" customWidth="1"/>
    <col min="69" max="73" width="8.7109375" style="2" customWidth="1"/>
    <col min="74" max="74" width="4.7109375" style="2" customWidth="1"/>
    <col min="75" max="79" width="8.7109375" style="2" customWidth="1"/>
    <col min="80" max="80" width="4.7109375" style="2" customWidth="1"/>
    <col min="81" max="85" width="8.7109375" style="2" customWidth="1"/>
    <col min="86" max="86" width="4.7109375" style="2" customWidth="1"/>
    <col min="87" max="91" width="8.7109375" style="2" customWidth="1"/>
    <col min="92" max="92" width="4.7109375" style="2" customWidth="1"/>
    <col min="93" max="97" width="8.7109375" style="2" customWidth="1"/>
    <col min="98" max="98" width="4.7109375" style="2" customWidth="1"/>
    <col min="99" max="16384" width="9.140625" style="2"/>
  </cols>
  <sheetData>
    <row r="1" spans="1:97">
      <c r="C1" s="207" t="s">
        <v>126</v>
      </c>
      <c r="D1" s="207"/>
      <c r="E1" s="207"/>
      <c r="F1" s="207"/>
      <c r="G1" s="207"/>
      <c r="I1" s="207" t="s">
        <v>126</v>
      </c>
      <c r="J1" s="207"/>
      <c r="K1" s="207"/>
      <c r="L1" s="207"/>
      <c r="M1" s="207"/>
      <c r="O1" s="207" t="s">
        <v>126</v>
      </c>
      <c r="P1" s="207"/>
      <c r="Q1" s="207"/>
      <c r="R1" s="207"/>
      <c r="S1" s="207"/>
      <c r="U1" s="207" t="s">
        <v>126</v>
      </c>
      <c r="V1" s="207"/>
      <c r="W1" s="207"/>
      <c r="X1" s="207"/>
      <c r="Y1" s="207"/>
      <c r="AA1" s="207" t="s">
        <v>104</v>
      </c>
      <c r="AB1" s="207"/>
      <c r="AC1" s="207"/>
      <c r="AD1" s="207"/>
      <c r="AE1" s="207"/>
      <c r="AG1" s="207" t="s">
        <v>104</v>
      </c>
      <c r="AH1" s="207"/>
      <c r="AI1" s="207"/>
      <c r="AJ1" s="207"/>
      <c r="AK1" s="207"/>
      <c r="AM1" s="207" t="s">
        <v>104</v>
      </c>
      <c r="AN1" s="207"/>
      <c r="AO1" s="207"/>
      <c r="AP1" s="207"/>
      <c r="AQ1" s="207"/>
      <c r="AS1" s="207" t="s">
        <v>104</v>
      </c>
      <c r="AT1" s="207"/>
      <c r="AU1" s="207"/>
      <c r="AV1" s="207"/>
      <c r="AW1" s="207"/>
      <c r="AY1" s="207" t="s">
        <v>104</v>
      </c>
      <c r="AZ1" s="207"/>
      <c r="BA1" s="207"/>
      <c r="BB1" s="207"/>
      <c r="BC1" s="207"/>
      <c r="BE1" s="207" t="s">
        <v>104</v>
      </c>
      <c r="BF1" s="207"/>
      <c r="BG1" s="207"/>
      <c r="BH1" s="207"/>
      <c r="BI1" s="207"/>
      <c r="BK1" s="207" t="s">
        <v>104</v>
      </c>
      <c r="BL1" s="207"/>
      <c r="BM1" s="207"/>
      <c r="BN1" s="207"/>
      <c r="BO1" s="207"/>
      <c r="BQ1" s="207" t="s">
        <v>104</v>
      </c>
      <c r="BR1" s="207"/>
      <c r="BS1" s="207"/>
      <c r="BT1" s="207"/>
      <c r="BU1" s="207"/>
      <c r="BW1" s="207" t="s">
        <v>104</v>
      </c>
      <c r="BX1" s="207"/>
      <c r="BY1" s="207"/>
      <c r="BZ1" s="207"/>
      <c r="CA1" s="207"/>
      <c r="CC1" s="207" t="s">
        <v>104</v>
      </c>
      <c r="CD1" s="207"/>
      <c r="CE1" s="207"/>
      <c r="CF1" s="207"/>
      <c r="CG1" s="207"/>
      <c r="CI1" s="207" t="s">
        <v>104</v>
      </c>
      <c r="CJ1" s="207"/>
      <c r="CK1" s="207"/>
      <c r="CL1" s="207"/>
      <c r="CM1" s="207"/>
      <c r="CO1" s="207" t="s">
        <v>104</v>
      </c>
      <c r="CP1" s="207"/>
      <c r="CQ1" s="207"/>
      <c r="CR1" s="207"/>
      <c r="CS1" s="207"/>
    </row>
    <row r="2" spans="1:97">
      <c r="BU2" s="6"/>
      <c r="CA2" s="6"/>
      <c r="CG2" s="6"/>
      <c r="CM2" s="6"/>
      <c r="CS2" s="6"/>
    </row>
    <row r="3" spans="1:97" s="33" customFormat="1">
      <c r="A3" s="4" t="s">
        <v>40</v>
      </c>
      <c r="B3" s="137"/>
      <c r="C3" s="209">
        <v>2001</v>
      </c>
      <c r="D3" s="209"/>
      <c r="E3" s="209"/>
      <c r="F3" s="209"/>
      <c r="G3" s="209"/>
      <c r="H3" s="4"/>
      <c r="I3" s="209">
        <v>2002</v>
      </c>
      <c r="J3" s="209"/>
      <c r="K3" s="209"/>
      <c r="L3" s="209"/>
      <c r="M3" s="209"/>
      <c r="O3" s="209">
        <v>2003</v>
      </c>
      <c r="P3" s="209"/>
      <c r="Q3" s="209"/>
      <c r="R3" s="209"/>
      <c r="S3" s="209"/>
      <c r="U3" s="209">
        <v>2004</v>
      </c>
      <c r="V3" s="209"/>
      <c r="W3" s="209"/>
      <c r="X3" s="209"/>
      <c r="Y3" s="209"/>
      <c r="AA3" s="209">
        <v>2004</v>
      </c>
      <c r="AB3" s="209"/>
      <c r="AC3" s="209"/>
      <c r="AD3" s="209"/>
      <c r="AE3" s="209"/>
      <c r="AG3" s="209">
        <v>2005</v>
      </c>
      <c r="AH3" s="209"/>
      <c r="AI3" s="209"/>
      <c r="AJ3" s="209"/>
      <c r="AK3" s="209"/>
      <c r="AM3" s="209">
        <v>2006</v>
      </c>
      <c r="AN3" s="209"/>
      <c r="AO3" s="209"/>
      <c r="AP3" s="209"/>
      <c r="AQ3" s="209"/>
      <c r="AS3" s="209">
        <v>2007</v>
      </c>
      <c r="AT3" s="209"/>
      <c r="AU3" s="209"/>
      <c r="AV3" s="209"/>
      <c r="AW3" s="209"/>
      <c r="AY3" s="209">
        <v>2008</v>
      </c>
      <c r="AZ3" s="209"/>
      <c r="BA3" s="209"/>
      <c r="BB3" s="209"/>
      <c r="BC3" s="209"/>
      <c r="BE3" s="209">
        <v>2009</v>
      </c>
      <c r="BF3" s="209"/>
      <c r="BG3" s="209"/>
      <c r="BH3" s="209"/>
      <c r="BI3" s="209"/>
      <c r="BK3" s="209">
        <v>2010</v>
      </c>
      <c r="BL3" s="209"/>
      <c r="BM3" s="209"/>
      <c r="BN3" s="209"/>
      <c r="BO3" s="209"/>
      <c r="BQ3" s="209">
        <v>2011</v>
      </c>
      <c r="BR3" s="209"/>
      <c r="BS3" s="209"/>
      <c r="BT3" s="209"/>
      <c r="BU3" s="209"/>
      <c r="BW3" s="209">
        <v>2012</v>
      </c>
      <c r="BX3" s="209"/>
      <c r="BY3" s="209"/>
      <c r="BZ3" s="209"/>
      <c r="CA3" s="209"/>
      <c r="CC3" s="209">
        <v>2013</v>
      </c>
      <c r="CD3" s="209"/>
      <c r="CE3" s="209"/>
      <c r="CF3" s="209"/>
      <c r="CG3" s="209"/>
      <c r="CI3" s="209">
        <v>2014</v>
      </c>
      <c r="CJ3" s="209"/>
      <c r="CK3" s="209"/>
      <c r="CL3" s="209"/>
      <c r="CM3" s="209"/>
      <c r="CO3" s="209">
        <v>2015</v>
      </c>
      <c r="CP3" s="209"/>
      <c r="CQ3" s="209"/>
      <c r="CR3" s="209"/>
      <c r="CS3" s="209"/>
    </row>
    <row r="4" spans="1:97" s="170" customFormat="1" ht="13.5" thickBot="1">
      <c r="A4" s="169" t="s">
        <v>185</v>
      </c>
      <c r="C4" s="132" t="s">
        <v>10</v>
      </c>
      <c r="D4" s="132" t="s">
        <v>11</v>
      </c>
      <c r="E4" s="132" t="s">
        <v>12</v>
      </c>
      <c r="F4" s="132" t="s">
        <v>13</v>
      </c>
      <c r="G4" s="132" t="s">
        <v>14</v>
      </c>
      <c r="H4" s="132"/>
      <c r="I4" s="132" t="s">
        <v>10</v>
      </c>
      <c r="J4" s="132" t="s">
        <v>11</v>
      </c>
      <c r="K4" s="132" t="s">
        <v>12</v>
      </c>
      <c r="L4" s="132" t="s">
        <v>13</v>
      </c>
      <c r="M4" s="132" t="s">
        <v>14</v>
      </c>
      <c r="O4" s="132" t="s">
        <v>10</v>
      </c>
      <c r="P4" s="132" t="s">
        <v>11</v>
      </c>
      <c r="Q4" s="132" t="s">
        <v>12</v>
      </c>
      <c r="R4" s="132" t="s">
        <v>13</v>
      </c>
      <c r="S4" s="132" t="s">
        <v>14</v>
      </c>
      <c r="U4" s="132" t="s">
        <v>10</v>
      </c>
      <c r="V4" s="132" t="s">
        <v>11</v>
      </c>
      <c r="W4" s="132" t="s">
        <v>12</v>
      </c>
      <c r="X4" s="132" t="s">
        <v>13</v>
      </c>
      <c r="Y4" s="132" t="s">
        <v>14</v>
      </c>
      <c r="AA4" s="132" t="s">
        <v>10</v>
      </c>
      <c r="AB4" s="132" t="s">
        <v>11</v>
      </c>
      <c r="AC4" s="132" t="s">
        <v>12</v>
      </c>
      <c r="AD4" s="132" t="s">
        <v>13</v>
      </c>
      <c r="AE4" s="132" t="s">
        <v>14</v>
      </c>
      <c r="AG4" s="132" t="s">
        <v>10</v>
      </c>
      <c r="AH4" s="132" t="s">
        <v>11</v>
      </c>
      <c r="AI4" s="132" t="s">
        <v>12</v>
      </c>
      <c r="AJ4" s="132" t="s">
        <v>13</v>
      </c>
      <c r="AK4" s="132" t="s">
        <v>14</v>
      </c>
      <c r="AM4" s="132" t="s">
        <v>10</v>
      </c>
      <c r="AN4" s="132" t="s">
        <v>11</v>
      </c>
      <c r="AO4" s="132" t="s">
        <v>12</v>
      </c>
      <c r="AP4" s="132" t="s">
        <v>13</v>
      </c>
      <c r="AQ4" s="132" t="s">
        <v>14</v>
      </c>
      <c r="AS4" s="132" t="s">
        <v>10</v>
      </c>
      <c r="AT4" s="132" t="s">
        <v>11</v>
      </c>
      <c r="AU4" s="132" t="s">
        <v>12</v>
      </c>
      <c r="AV4" s="132" t="s">
        <v>13</v>
      </c>
      <c r="AW4" s="132" t="s">
        <v>14</v>
      </c>
      <c r="AY4" s="132" t="s">
        <v>10</v>
      </c>
      <c r="AZ4" s="132" t="s">
        <v>11</v>
      </c>
      <c r="BA4" s="132" t="s">
        <v>12</v>
      </c>
      <c r="BB4" s="132" t="s">
        <v>13</v>
      </c>
      <c r="BC4" s="132" t="s">
        <v>14</v>
      </c>
      <c r="BE4" s="132" t="s">
        <v>10</v>
      </c>
      <c r="BF4" s="132" t="s">
        <v>11</v>
      </c>
      <c r="BG4" s="132" t="s">
        <v>12</v>
      </c>
      <c r="BH4" s="132" t="s">
        <v>13</v>
      </c>
      <c r="BI4" s="132" t="s">
        <v>14</v>
      </c>
      <c r="BK4" s="132" t="s">
        <v>10</v>
      </c>
      <c r="BL4" s="132" t="s">
        <v>11</v>
      </c>
      <c r="BM4" s="132" t="s">
        <v>12</v>
      </c>
      <c r="BN4" s="132" t="s">
        <v>13</v>
      </c>
      <c r="BO4" s="132" t="s">
        <v>14</v>
      </c>
      <c r="BQ4" s="132" t="s">
        <v>10</v>
      </c>
      <c r="BR4" s="132" t="s">
        <v>11</v>
      </c>
      <c r="BS4" s="132" t="s">
        <v>12</v>
      </c>
      <c r="BT4" s="132" t="s">
        <v>13</v>
      </c>
      <c r="BU4" s="132" t="s">
        <v>14</v>
      </c>
      <c r="BW4" s="132" t="s">
        <v>10</v>
      </c>
      <c r="BX4" s="132" t="s">
        <v>11</v>
      </c>
      <c r="BY4" s="132" t="s">
        <v>12</v>
      </c>
      <c r="BZ4" s="132" t="s">
        <v>13</v>
      </c>
      <c r="CA4" s="132" t="s">
        <v>14</v>
      </c>
      <c r="CC4" s="132" t="s">
        <v>10</v>
      </c>
      <c r="CD4" s="132" t="s">
        <v>11</v>
      </c>
      <c r="CE4" s="132" t="s">
        <v>12</v>
      </c>
      <c r="CF4" s="132" t="s">
        <v>13</v>
      </c>
      <c r="CG4" s="132" t="s">
        <v>14</v>
      </c>
      <c r="CI4" s="132" t="s">
        <v>10</v>
      </c>
      <c r="CJ4" s="132" t="s">
        <v>11</v>
      </c>
      <c r="CK4" s="132" t="s">
        <v>12</v>
      </c>
      <c r="CL4" s="132" t="s">
        <v>13</v>
      </c>
      <c r="CM4" s="132" t="s">
        <v>14</v>
      </c>
      <c r="CO4" s="132" t="s">
        <v>10</v>
      </c>
      <c r="CP4" s="132" t="s">
        <v>11</v>
      </c>
      <c r="CQ4" s="132" t="s">
        <v>12</v>
      </c>
      <c r="CR4" s="132" t="s">
        <v>13</v>
      </c>
      <c r="CS4" s="132" t="s">
        <v>14</v>
      </c>
    </row>
    <row r="5" spans="1:97" s="165" customFormat="1" ht="13.5" thickTop="1">
      <c r="B5" s="166"/>
      <c r="G5" s="167"/>
      <c r="H5" s="168"/>
      <c r="M5" s="167"/>
      <c r="S5" s="167"/>
      <c r="Y5" s="167"/>
      <c r="AE5" s="167"/>
      <c r="AK5" s="167"/>
      <c r="AQ5" s="167"/>
      <c r="AW5" s="167"/>
      <c r="BC5" s="167"/>
      <c r="BI5" s="167"/>
      <c r="BO5" s="167"/>
      <c r="BU5" s="167"/>
      <c r="CA5" s="167"/>
      <c r="CG5" s="167"/>
      <c r="CM5" s="167"/>
      <c r="CS5" s="167"/>
    </row>
    <row r="6" spans="1:97">
      <c r="A6" s="2" t="s">
        <v>1</v>
      </c>
      <c r="C6" s="9">
        <f>' Financial Highlights'!C7</f>
        <v>37</v>
      </c>
      <c r="D6" s="9">
        <f>' Financial Highlights'!D7</f>
        <v>169</v>
      </c>
      <c r="E6" s="9">
        <f>' Financial Highlights'!E7</f>
        <v>52</v>
      </c>
      <c r="F6" s="9">
        <f>' Financial Highlights'!F7</f>
        <v>57</v>
      </c>
      <c r="G6" s="71">
        <f>SUM(C6:F6)</f>
        <v>315</v>
      </c>
      <c r="H6" s="8"/>
      <c r="I6" s="9">
        <f>' Financial Highlights'!I7</f>
        <v>66</v>
      </c>
      <c r="J6" s="9">
        <f>' Financial Highlights'!J7</f>
        <v>86</v>
      </c>
      <c r="K6" s="9">
        <f>' Financial Highlights'!K7</f>
        <v>95</v>
      </c>
      <c r="L6" s="9">
        <f>' Financial Highlights'!L7</f>
        <v>-79</v>
      </c>
      <c r="M6" s="71">
        <f>SUM(I6:L6)</f>
        <v>168</v>
      </c>
      <c r="O6" s="9">
        <v>66</v>
      </c>
      <c r="P6" s="9">
        <v>101</v>
      </c>
      <c r="Q6" s="9">
        <v>108</v>
      </c>
      <c r="R6" s="9">
        <v>111</v>
      </c>
      <c r="S6" s="71">
        <f>SUM(O6:R6)</f>
        <v>386</v>
      </c>
      <c r="U6" s="9">
        <v>71</v>
      </c>
      <c r="V6" s="9">
        <v>149</v>
      </c>
      <c r="W6" s="9">
        <v>271</v>
      </c>
      <c r="X6" s="9">
        <v>125</v>
      </c>
      <c r="Y6" s="71">
        <f>SUM(U6:X6)</f>
        <v>616</v>
      </c>
      <c r="AA6" s="9">
        <f>' Financial Highlights'!AA7</f>
        <v>68</v>
      </c>
      <c r="AB6" s="9">
        <f>' Financial Highlights'!AB7</f>
        <v>-37</v>
      </c>
      <c r="AC6" s="9">
        <f>' Financial Highlights'!AC7</f>
        <v>263</v>
      </c>
      <c r="AD6" s="9">
        <f>' Financial Highlights'!AD7</f>
        <v>139</v>
      </c>
      <c r="AE6" s="71">
        <f>SUM(AA6:AD6)</f>
        <v>433</v>
      </c>
      <c r="AG6" s="9">
        <v>125</v>
      </c>
      <c r="AH6" s="9">
        <v>174</v>
      </c>
      <c r="AI6" s="9">
        <v>190</v>
      </c>
      <c r="AJ6" s="9">
        <v>224</v>
      </c>
      <c r="AK6" s="71">
        <f>SUM(AG6:AJ6)</f>
        <v>713</v>
      </c>
      <c r="AM6" s="9">
        <v>176</v>
      </c>
      <c r="AN6" s="9">
        <v>373</v>
      </c>
      <c r="AO6" s="9">
        <v>255</v>
      </c>
      <c r="AP6" s="9">
        <v>218</v>
      </c>
      <c r="AQ6" s="71">
        <f>SUM(AM6:AP6)</f>
        <v>1022</v>
      </c>
      <c r="AS6" s="9">
        <v>256</v>
      </c>
      <c r="AT6" s="9">
        <v>397</v>
      </c>
      <c r="AU6" s="9">
        <v>333</v>
      </c>
      <c r="AV6" s="9">
        <v>447</v>
      </c>
      <c r="AW6" s="71">
        <f>SUM(AS6:AV6)</f>
        <v>1433</v>
      </c>
      <c r="AY6" s="9">
        <v>305</v>
      </c>
      <c r="AZ6" s="9">
        <v>461</v>
      </c>
      <c r="BA6" s="9">
        <v>329</v>
      </c>
      <c r="BB6" s="11">
        <v>123</v>
      </c>
      <c r="BC6" s="71">
        <f>SUM(AY6:BB6)</f>
        <v>1218</v>
      </c>
      <c r="BE6" s="9">
        <v>127</v>
      </c>
      <c r="BF6" s="9">
        <v>237</v>
      </c>
      <c r="BG6" s="9">
        <v>225</v>
      </c>
      <c r="BH6" s="9">
        <v>194</v>
      </c>
      <c r="BI6" s="71">
        <f>SUM(BE6:BH6)</f>
        <v>783</v>
      </c>
      <c r="BK6" s="9">
        <v>213</v>
      </c>
      <c r="BL6" s="11">
        <v>258</v>
      </c>
      <c r="BM6" s="9">
        <v>250</v>
      </c>
      <c r="BN6" s="9">
        <v>178</v>
      </c>
      <c r="BO6" s="71">
        <f>SUM(BK6:BN6)</f>
        <v>899</v>
      </c>
      <c r="BQ6" s="9">
        <f>+' Financial Highlights'!BQ7</f>
        <v>216</v>
      </c>
      <c r="BR6" s="9">
        <f>+' Financial Highlights'!BR7</f>
        <v>210</v>
      </c>
      <c r="BS6" s="9">
        <f>+' Financial Highlights'!BS7</f>
        <v>312</v>
      </c>
      <c r="BT6" s="9">
        <f>+' Financial Highlights'!BT7</f>
        <v>265</v>
      </c>
      <c r="BU6" s="71">
        <f>SUM(BQ6:BT6)</f>
        <v>1003</v>
      </c>
      <c r="BW6" s="9">
        <v>228</v>
      </c>
      <c r="BX6" s="9">
        <v>229</v>
      </c>
      <c r="BY6" s="9">
        <v>239</v>
      </c>
      <c r="BZ6" s="9">
        <v>313</v>
      </c>
      <c r="CA6" s="71">
        <f>SUM(BW6:BZ6)</f>
        <v>1009</v>
      </c>
      <c r="CC6" s="9">
        <v>217</v>
      </c>
      <c r="CD6" s="9">
        <v>279</v>
      </c>
      <c r="CE6" s="9">
        <v>241</v>
      </c>
      <c r="CF6" s="9">
        <v>366</v>
      </c>
      <c r="CG6" s="71">
        <f>SUM(CC6:CF6)</f>
        <v>1103</v>
      </c>
      <c r="CI6" s="9">
        <v>296</v>
      </c>
      <c r="CJ6" s="9">
        <v>222</v>
      </c>
      <c r="CK6" s="9">
        <v>226</v>
      </c>
      <c r="CL6" s="9">
        <f>1061-744</f>
        <v>317</v>
      </c>
      <c r="CM6" s="71">
        <f>SUM(CI6:CL6)</f>
        <v>1061</v>
      </c>
      <c r="CO6" s="9">
        <v>245</v>
      </c>
      <c r="CP6" s="9">
        <v>407</v>
      </c>
      <c r="CQ6" s="9"/>
      <c r="CR6" s="9"/>
      <c r="CS6" s="71">
        <f>SUM(CO6:CR6)</f>
        <v>652</v>
      </c>
    </row>
    <row r="7" spans="1:97">
      <c r="A7" s="2" t="s">
        <v>119</v>
      </c>
      <c r="C7" s="9">
        <f>' Financial Highlights'!C15</f>
        <v>51</v>
      </c>
      <c r="D7" s="9">
        <f>' Financial Highlights'!D15</f>
        <v>8</v>
      </c>
      <c r="E7" s="9">
        <f>' Financial Highlights'!E15</f>
        <v>-7</v>
      </c>
      <c r="F7" s="9">
        <f>' Financial Highlights'!F15</f>
        <v>-14</v>
      </c>
      <c r="G7" s="71">
        <f>SUM(C7:F7)</f>
        <v>38</v>
      </c>
      <c r="H7" s="8"/>
      <c r="I7" s="9">
        <f>' Financial Highlights'!I15</f>
        <v>-3</v>
      </c>
      <c r="J7" s="9">
        <f>' Financial Highlights'!J15</f>
        <v>-10</v>
      </c>
      <c r="K7" s="9">
        <f>' Financial Highlights'!K15</f>
        <v>-2</v>
      </c>
      <c r="L7" s="9">
        <f>' Financial Highlights'!L15</f>
        <v>-2</v>
      </c>
      <c r="M7" s="71">
        <f>SUM(I7:L7)</f>
        <v>-17</v>
      </c>
      <c r="O7" s="9">
        <v>-1</v>
      </c>
      <c r="P7" s="9">
        <v>-5</v>
      </c>
      <c r="Q7" s="9">
        <v>-2</v>
      </c>
      <c r="R7" s="9">
        <v>24</v>
      </c>
      <c r="S7" s="71">
        <f>SUM(O7:R7)</f>
        <v>16</v>
      </c>
      <c r="U7" s="9">
        <v>-1</v>
      </c>
      <c r="V7" s="9">
        <v>-13</v>
      </c>
      <c r="W7" s="9">
        <v>-16</v>
      </c>
      <c r="X7" s="9">
        <v>20</v>
      </c>
      <c r="Y7" s="71">
        <f>SUM(U7:X7)</f>
        <v>-10</v>
      </c>
      <c r="AA7" s="9">
        <f>' Financial Highlights'!AA15</f>
        <v>0</v>
      </c>
      <c r="AB7" s="9">
        <f>' Financial Highlights'!AB15</f>
        <v>-11</v>
      </c>
      <c r="AC7" s="9">
        <f>' Financial Highlights'!AC15</f>
        <v>-13</v>
      </c>
      <c r="AD7" s="9">
        <f>' Financial Highlights'!AD15</f>
        <v>0</v>
      </c>
      <c r="AE7" s="71">
        <f>SUM(AA7:AD7)</f>
        <v>-24</v>
      </c>
      <c r="AG7" s="9">
        <v>-15</v>
      </c>
      <c r="AH7" s="9">
        <v>1</v>
      </c>
      <c r="AI7" s="9">
        <v>-1</v>
      </c>
      <c r="AJ7" s="9">
        <v>-7</v>
      </c>
      <c r="AK7" s="71">
        <f>SUM(AG7:AJ7)</f>
        <v>-22</v>
      </c>
      <c r="AM7" s="9">
        <v>-14</v>
      </c>
      <c r="AN7" s="9">
        <v>-12</v>
      </c>
      <c r="AO7" s="9">
        <v>-9</v>
      </c>
      <c r="AP7" s="9">
        <v>-14</v>
      </c>
      <c r="AQ7" s="71">
        <f>SUM(AM7:AP7)</f>
        <v>-49</v>
      </c>
      <c r="AS7" s="9">
        <v>-31</v>
      </c>
      <c r="AT7" s="9">
        <v>-23</v>
      </c>
      <c r="AU7" s="9">
        <v>-33</v>
      </c>
      <c r="AV7" s="9">
        <v>-58</v>
      </c>
      <c r="AW7" s="71">
        <f>SUM(AS7:AV7)</f>
        <v>-145</v>
      </c>
      <c r="AY7" s="9">
        <v>-42</v>
      </c>
      <c r="AZ7" s="9">
        <v>-68</v>
      </c>
      <c r="BA7" s="9">
        <v>-54</v>
      </c>
      <c r="BB7" s="11">
        <v>-62</v>
      </c>
      <c r="BC7" s="71">
        <f>SUM(AY7:BB7)</f>
        <v>-226</v>
      </c>
      <c r="BE7" s="9">
        <v>-34.700000000000003</v>
      </c>
      <c r="BF7" s="9">
        <v>-26</v>
      </c>
      <c r="BG7" s="11">
        <v>-24</v>
      </c>
      <c r="BH7" s="11">
        <v>-40</v>
      </c>
      <c r="BI7" s="71">
        <f>SUM(BE7:BH7)</f>
        <v>-124.7</v>
      </c>
      <c r="BK7" s="9">
        <v>-27</v>
      </c>
      <c r="BL7" s="11">
        <v>-22</v>
      </c>
      <c r="BM7" s="11">
        <v>-43</v>
      </c>
      <c r="BN7" s="11">
        <v>-43</v>
      </c>
      <c r="BO7" s="71">
        <f>SUM(BK7:BN7)</f>
        <v>-135</v>
      </c>
      <c r="BQ7" s="9">
        <f>+' Financial Highlights'!BQ15</f>
        <v>-43</v>
      </c>
      <c r="BR7" s="9">
        <f>+' Financial Highlights'!BR15</f>
        <v>-61</v>
      </c>
      <c r="BS7" s="9">
        <f>+' Financial Highlights'!BS15</f>
        <v>-106</v>
      </c>
      <c r="BT7" s="9">
        <f>+' Financial Highlights'!BT15</f>
        <v>-70</v>
      </c>
      <c r="BU7" s="71">
        <f>SUM(BQ7:BT7)</f>
        <v>-280</v>
      </c>
      <c r="BW7" s="9">
        <v>-59</v>
      </c>
      <c r="BX7" s="9">
        <v>-52</v>
      </c>
      <c r="BY7" s="9">
        <v>-44</v>
      </c>
      <c r="BZ7" s="9">
        <v>-41</v>
      </c>
      <c r="CA7" s="71">
        <f>SUM(BW7:BZ7)</f>
        <v>-196</v>
      </c>
      <c r="CC7" s="9">
        <v>-48</v>
      </c>
      <c r="CD7" s="9">
        <v>-40</v>
      </c>
      <c r="CE7" s="9">
        <v>-36</v>
      </c>
      <c r="CF7" s="9">
        <v>-36</v>
      </c>
      <c r="CG7" s="71">
        <f>SUM(CC7:CF7)</f>
        <v>-160</v>
      </c>
      <c r="CI7" s="9">
        <v>-25</v>
      </c>
      <c r="CJ7" s="9">
        <v>-27</v>
      </c>
      <c r="CK7" s="9">
        <v>-21</v>
      </c>
      <c r="CL7" s="9">
        <v>-26</v>
      </c>
      <c r="CM7" s="71">
        <f>SUM(CI7:CL7)</f>
        <v>-99</v>
      </c>
      <c r="CO7" s="9">
        <v>16</v>
      </c>
      <c r="CP7" s="9">
        <v>-21</v>
      </c>
      <c r="CQ7" s="9"/>
      <c r="CR7" s="9"/>
      <c r="CS7" s="71">
        <f>SUM(CO7:CR7)</f>
        <v>-5</v>
      </c>
    </row>
    <row r="8" spans="1:97">
      <c r="A8" s="2" t="s">
        <v>120</v>
      </c>
      <c r="C8" s="9"/>
      <c r="D8" s="9"/>
      <c r="E8" s="9"/>
      <c r="F8" s="9"/>
      <c r="G8" s="71"/>
      <c r="H8" s="8"/>
      <c r="I8" s="9"/>
      <c r="J8" s="9"/>
      <c r="K8" s="9"/>
      <c r="L8" s="9"/>
      <c r="M8" s="71"/>
      <c r="O8" s="9"/>
      <c r="P8" s="9"/>
      <c r="Q8" s="9"/>
      <c r="R8" s="9"/>
      <c r="S8" s="71"/>
      <c r="U8" s="9"/>
      <c r="V8" s="9"/>
      <c r="W8" s="9"/>
      <c r="X8" s="9"/>
      <c r="Y8" s="71"/>
      <c r="AA8" s="9">
        <v>2</v>
      </c>
      <c r="AB8" s="9">
        <v>0</v>
      </c>
      <c r="AC8" s="9">
        <v>6</v>
      </c>
      <c r="AD8" s="9">
        <v>-8</v>
      </c>
      <c r="AE8" s="71">
        <f>SUM(AA8:AD8)</f>
        <v>0</v>
      </c>
      <c r="AG8" s="9"/>
      <c r="AH8" s="9"/>
      <c r="AI8" s="9"/>
      <c r="AJ8" s="9"/>
      <c r="AK8" s="71"/>
      <c r="AM8" s="9"/>
      <c r="AN8" s="9"/>
      <c r="AO8" s="9"/>
      <c r="AP8" s="9"/>
      <c r="AQ8" s="71"/>
      <c r="AS8" s="9"/>
      <c r="AT8" s="9"/>
      <c r="AU8" s="9"/>
      <c r="AV8" s="9"/>
      <c r="AW8" s="71"/>
      <c r="AY8" s="9"/>
      <c r="AZ8" s="9"/>
      <c r="BA8" s="9"/>
      <c r="BB8" s="11"/>
      <c r="BC8" s="71"/>
      <c r="BE8" s="9"/>
      <c r="BF8" s="9"/>
      <c r="BG8" s="11"/>
      <c r="BH8" s="11"/>
      <c r="BI8" s="71"/>
      <c r="BK8" s="9"/>
      <c r="BL8" s="11"/>
      <c r="BM8" s="11"/>
      <c r="BN8" s="11"/>
      <c r="BO8" s="71"/>
      <c r="BQ8" s="9"/>
      <c r="BR8" s="11"/>
      <c r="BS8" s="11"/>
      <c r="BT8" s="11"/>
      <c r="BU8" s="71"/>
      <c r="BW8" s="9"/>
      <c r="BX8" s="11"/>
      <c r="BY8" s="11"/>
      <c r="BZ8" s="11"/>
      <c r="CA8" s="71"/>
      <c r="CC8" s="9"/>
      <c r="CD8" s="11"/>
      <c r="CE8" s="11"/>
      <c r="CF8" s="11"/>
      <c r="CG8" s="71"/>
      <c r="CI8" s="9"/>
      <c r="CJ8" s="11"/>
      <c r="CK8" s="11"/>
      <c r="CL8" s="11"/>
      <c r="CM8" s="71"/>
      <c r="CO8" s="9"/>
      <c r="CP8" s="11"/>
      <c r="CQ8" s="11"/>
      <c r="CR8" s="11"/>
      <c r="CS8" s="71"/>
    </row>
    <row r="9" spans="1:97" ht="12.75" customHeight="1">
      <c r="A9" s="2" t="s">
        <v>121</v>
      </c>
      <c r="C9" s="9"/>
      <c r="D9" s="9"/>
      <c r="E9" s="9"/>
      <c r="F9" s="9"/>
      <c r="G9" s="71"/>
      <c r="H9" s="8"/>
      <c r="I9" s="9"/>
      <c r="J9" s="9"/>
      <c r="K9" s="9"/>
      <c r="L9" s="9"/>
      <c r="M9" s="71"/>
      <c r="O9" s="9"/>
      <c r="P9" s="9"/>
      <c r="Q9" s="9"/>
      <c r="R9" s="9"/>
      <c r="S9" s="71"/>
      <c r="U9" s="9"/>
      <c r="V9" s="9"/>
      <c r="W9" s="9"/>
      <c r="X9" s="9"/>
      <c r="Y9" s="71"/>
      <c r="AA9" s="9"/>
      <c r="AB9" s="9"/>
      <c r="AC9" s="9"/>
      <c r="AD9" s="9"/>
      <c r="AE9" s="71"/>
      <c r="AG9" s="9"/>
      <c r="AH9" s="9"/>
      <c r="AI9" s="9"/>
      <c r="AJ9" s="9"/>
      <c r="AK9" s="71"/>
      <c r="AM9" s="9"/>
      <c r="AN9" s="9"/>
      <c r="AO9" s="9"/>
      <c r="AP9" s="9"/>
      <c r="AQ9" s="71"/>
      <c r="AS9" s="9"/>
      <c r="AT9" s="9"/>
      <c r="AU9" s="9"/>
      <c r="AV9" s="9"/>
      <c r="AW9" s="71"/>
      <c r="AY9" s="9"/>
      <c r="AZ9" s="9"/>
      <c r="BA9" s="9"/>
      <c r="BB9" s="11"/>
      <c r="BC9" s="71"/>
      <c r="BE9" s="9"/>
      <c r="BF9" s="9"/>
      <c r="BG9" s="11"/>
      <c r="BH9" s="11"/>
      <c r="BI9" s="71"/>
      <c r="BK9" s="9"/>
      <c r="BL9" s="11"/>
      <c r="BM9" s="11"/>
      <c r="BN9" s="11"/>
      <c r="BO9" s="71"/>
      <c r="BQ9" s="9"/>
      <c r="BR9" s="11"/>
      <c r="BS9" s="11"/>
      <c r="BT9" s="11"/>
      <c r="BU9" s="71"/>
      <c r="BW9" s="9"/>
      <c r="BX9" s="11"/>
      <c r="BY9" s="11"/>
      <c r="BZ9" s="11"/>
      <c r="CA9" s="71"/>
      <c r="CC9" s="9"/>
      <c r="CD9" s="11"/>
      <c r="CE9" s="11"/>
      <c r="CF9" s="11"/>
      <c r="CG9" s="71"/>
      <c r="CI9" s="9"/>
      <c r="CJ9" s="11"/>
      <c r="CK9" s="11"/>
      <c r="CL9" s="11"/>
      <c r="CM9" s="71"/>
      <c r="CO9" s="9"/>
      <c r="CP9" s="11"/>
      <c r="CQ9" s="11"/>
      <c r="CR9" s="11"/>
      <c r="CS9" s="71"/>
    </row>
    <row r="10" spans="1:97" s="6" customFormat="1" ht="12.75" customHeight="1">
      <c r="A10" s="2" t="s">
        <v>141</v>
      </c>
      <c r="B10" s="3"/>
      <c r="C10" s="13">
        <v>-113</v>
      </c>
      <c r="D10" s="13">
        <v>-70</v>
      </c>
      <c r="E10" s="13">
        <v>-30</v>
      </c>
      <c r="F10" s="13">
        <v>306</v>
      </c>
      <c r="G10" s="71">
        <f>SUM(C10:F10)</f>
        <v>93</v>
      </c>
      <c r="H10" s="8"/>
      <c r="I10" s="13">
        <v>-134</v>
      </c>
      <c r="J10" s="13">
        <v>-16</v>
      </c>
      <c r="K10" s="13">
        <v>48</v>
      </c>
      <c r="L10" s="13">
        <v>305</v>
      </c>
      <c r="M10" s="71">
        <f>SUM(I10:L10)</f>
        <v>203</v>
      </c>
      <c r="N10" s="2"/>
      <c r="O10" s="13">
        <v>-117</v>
      </c>
      <c r="P10" s="13">
        <v>-146</v>
      </c>
      <c r="Q10" s="13">
        <v>10</v>
      </c>
      <c r="R10" s="13">
        <v>86</v>
      </c>
      <c r="S10" s="71">
        <f>SUM(O10:R10)</f>
        <v>-167</v>
      </c>
      <c r="T10" s="2"/>
      <c r="U10" s="13">
        <v>-194</v>
      </c>
      <c r="V10" s="13">
        <v>-174</v>
      </c>
      <c r="W10" s="13">
        <v>-124</v>
      </c>
      <c r="X10" s="13">
        <v>156</v>
      </c>
      <c r="Y10" s="71">
        <f>SUM(U10:X10)</f>
        <v>-336</v>
      </c>
      <c r="Z10" s="2"/>
      <c r="AA10" s="13">
        <v>-189</v>
      </c>
      <c r="AB10" s="13">
        <v>28</v>
      </c>
      <c r="AC10" s="13">
        <v>-107</v>
      </c>
      <c r="AD10" s="13">
        <v>144</v>
      </c>
      <c r="AE10" s="71">
        <f>SUM(AA10:AD10)</f>
        <v>-124</v>
      </c>
      <c r="AF10" s="2"/>
      <c r="AG10" s="13">
        <v>-298</v>
      </c>
      <c r="AH10" s="13">
        <v>-155</v>
      </c>
      <c r="AI10" s="13">
        <v>-134</v>
      </c>
      <c r="AJ10" s="13">
        <v>-63</v>
      </c>
      <c r="AK10" s="71">
        <f>SUM(AG10:AJ10)</f>
        <v>-650</v>
      </c>
      <c r="AL10" s="2"/>
      <c r="AM10" s="13">
        <v>-378</v>
      </c>
      <c r="AN10" s="13">
        <v>-282</v>
      </c>
      <c r="AO10" s="13">
        <v>-60</v>
      </c>
      <c r="AP10" s="13">
        <v>12</v>
      </c>
      <c r="AQ10" s="71">
        <f>SUM(AM10:AP10)</f>
        <v>-708</v>
      </c>
      <c r="AR10" s="2"/>
      <c r="AS10" s="13">
        <v>-175</v>
      </c>
      <c r="AT10" s="13">
        <v>-234</v>
      </c>
      <c r="AU10" s="13">
        <v>125</v>
      </c>
      <c r="AV10" s="13">
        <v>158</v>
      </c>
      <c r="AW10" s="71">
        <f>SUM(AS10:AV10)</f>
        <v>-126</v>
      </c>
      <c r="AX10" s="2"/>
      <c r="AY10" s="13">
        <v>-513</v>
      </c>
      <c r="AZ10" s="13">
        <v>-416</v>
      </c>
      <c r="BA10" s="13">
        <v>-96</v>
      </c>
      <c r="BB10" s="38">
        <v>796</v>
      </c>
      <c r="BC10" s="71">
        <f>SUM(AY10:BB10)</f>
        <v>-229</v>
      </c>
      <c r="BD10" s="2"/>
      <c r="BE10" s="38">
        <v>75</v>
      </c>
      <c r="BF10" s="38">
        <v>-190</v>
      </c>
      <c r="BG10" s="38">
        <v>2</v>
      </c>
      <c r="BH10" s="38">
        <v>37</v>
      </c>
      <c r="BI10" s="71">
        <f>SUM(BE10:BH10)</f>
        <v>-76</v>
      </c>
      <c r="BK10" s="38">
        <v>-407</v>
      </c>
      <c r="BL10" s="38">
        <v>-499</v>
      </c>
      <c r="BM10" s="38">
        <f>-18-3-336</f>
        <v>-357</v>
      </c>
      <c r="BN10" s="38">
        <v>125</v>
      </c>
      <c r="BO10" s="71">
        <f>SUM(BK10:BN10)</f>
        <v>-1138</v>
      </c>
      <c r="BQ10" s="38">
        <v>-626</v>
      </c>
      <c r="BR10" s="38">
        <v>-77</v>
      </c>
      <c r="BS10" s="38">
        <v>193</v>
      </c>
      <c r="BT10" s="38">
        <v>345</v>
      </c>
      <c r="BU10" s="71">
        <f>SUM(BQ10:BT10)</f>
        <v>-165</v>
      </c>
      <c r="BW10" s="38">
        <v>-142</v>
      </c>
      <c r="BX10" s="38">
        <v>-111</v>
      </c>
      <c r="BY10" s="38">
        <v>-165</v>
      </c>
      <c r="BZ10" s="38">
        <v>727</v>
      </c>
      <c r="CA10" s="71">
        <f>SUM(BW10:BZ10)</f>
        <v>309</v>
      </c>
      <c r="CC10" s="38">
        <v>-690</v>
      </c>
      <c r="CD10" s="38">
        <v>-249</v>
      </c>
      <c r="CE10" s="38">
        <v>151</v>
      </c>
      <c r="CF10" s="38">
        <v>390</v>
      </c>
      <c r="CG10" s="71">
        <f>SUM(CC10:CF10)</f>
        <v>-398</v>
      </c>
      <c r="CI10" s="38">
        <v>-72</v>
      </c>
      <c r="CJ10" s="38">
        <v>-86</v>
      </c>
      <c r="CK10" s="38">
        <v>-76</v>
      </c>
      <c r="CL10" s="38">
        <v>855</v>
      </c>
      <c r="CM10" s="71">
        <f>SUM(CI10:CL10)</f>
        <v>621</v>
      </c>
      <c r="CO10" s="38">
        <v>-166</v>
      </c>
      <c r="CP10" s="38">
        <f>-65-281</f>
        <v>-346</v>
      </c>
      <c r="CQ10" s="38"/>
      <c r="CR10" s="38"/>
      <c r="CS10" s="71">
        <f>SUM(CO10:CR10)</f>
        <v>-512</v>
      </c>
    </row>
    <row r="11" spans="1:97" s="157" customFormat="1" ht="15.75" customHeight="1">
      <c r="A11" s="154" t="s">
        <v>122</v>
      </c>
      <c r="B11" s="155"/>
      <c r="C11" s="158">
        <f>SUM(C6:C10)</f>
        <v>-25</v>
      </c>
      <c r="D11" s="158">
        <f>SUM(D6:D10)</f>
        <v>107</v>
      </c>
      <c r="E11" s="158">
        <f>SUM(E6:E10)</f>
        <v>15</v>
      </c>
      <c r="F11" s="158">
        <f>SUM(F6:F10)</f>
        <v>349</v>
      </c>
      <c r="G11" s="159">
        <f>SUM(G6:G10)</f>
        <v>446</v>
      </c>
      <c r="H11" s="156"/>
      <c r="I11" s="158">
        <f>SUM(I6:I10)</f>
        <v>-71</v>
      </c>
      <c r="J11" s="158">
        <f>SUM(J6:J10)</f>
        <v>60</v>
      </c>
      <c r="K11" s="158">
        <f>SUM(K6:K10)</f>
        <v>141</v>
      </c>
      <c r="L11" s="158">
        <f>SUM(L6:L10)</f>
        <v>224</v>
      </c>
      <c r="M11" s="159">
        <f>SUM(M6:M10)</f>
        <v>354</v>
      </c>
      <c r="N11" s="154"/>
      <c r="O11" s="158">
        <f>SUM(O6:O10)</f>
        <v>-52</v>
      </c>
      <c r="P11" s="158">
        <f>SUM(P6:P10)</f>
        <v>-50</v>
      </c>
      <c r="Q11" s="158">
        <f>SUM(Q6:Q10)</f>
        <v>116</v>
      </c>
      <c r="R11" s="158">
        <f>SUM(R6:R10)</f>
        <v>221</v>
      </c>
      <c r="S11" s="159">
        <f>SUM(S6:S10)</f>
        <v>235</v>
      </c>
      <c r="T11" s="154"/>
      <c r="U11" s="158">
        <f>SUM(U6:U10)</f>
        <v>-124</v>
      </c>
      <c r="V11" s="158">
        <f>SUM(V6:V10)</f>
        <v>-38</v>
      </c>
      <c r="W11" s="158">
        <f>SUM(W6:W10)</f>
        <v>131</v>
      </c>
      <c r="X11" s="158">
        <f>SUM(X6:X10)</f>
        <v>301</v>
      </c>
      <c r="Y11" s="159">
        <f>SUM(Y6:Y10)</f>
        <v>270</v>
      </c>
      <c r="Z11" s="154"/>
      <c r="AA11" s="158">
        <f>SUM(AA6:AA10)</f>
        <v>-119</v>
      </c>
      <c r="AB11" s="158">
        <f>SUM(AB6:AB10)</f>
        <v>-20</v>
      </c>
      <c r="AC11" s="158">
        <f>SUM(AC6:AC10)</f>
        <v>149</v>
      </c>
      <c r="AD11" s="158">
        <f>SUM(AD6:AD10)</f>
        <v>275</v>
      </c>
      <c r="AE11" s="159">
        <f>SUM(AE6:AE10)</f>
        <v>285</v>
      </c>
      <c r="AF11" s="154"/>
      <c r="AG11" s="158">
        <f>SUM(AG6:AG10)</f>
        <v>-188</v>
      </c>
      <c r="AH11" s="158">
        <f>SUM(AH6:AH10)</f>
        <v>20</v>
      </c>
      <c r="AI11" s="158">
        <f>SUM(AI6:AI10)</f>
        <v>55</v>
      </c>
      <c r="AJ11" s="158">
        <f>SUM(AJ6:AJ10)</f>
        <v>154</v>
      </c>
      <c r="AK11" s="159">
        <f>SUM(AK6:AK10)</f>
        <v>41</v>
      </c>
      <c r="AL11" s="154"/>
      <c r="AM11" s="158">
        <f>SUM(AM6:AM10)</f>
        <v>-216</v>
      </c>
      <c r="AN11" s="158">
        <f>SUM(AN6:AN10)</f>
        <v>79</v>
      </c>
      <c r="AO11" s="158">
        <f>SUM(AO6:AO10)</f>
        <v>186</v>
      </c>
      <c r="AP11" s="158">
        <f>SUM(AP6:AP10)</f>
        <v>216</v>
      </c>
      <c r="AQ11" s="159">
        <f>SUM(AQ6:AQ10)</f>
        <v>265</v>
      </c>
      <c r="AR11" s="154"/>
      <c r="AS11" s="158">
        <f>SUM(AS6:AS10)</f>
        <v>50</v>
      </c>
      <c r="AT11" s="158">
        <f>SUM(AT6:AT10)</f>
        <v>140</v>
      </c>
      <c r="AU11" s="158">
        <f>SUM(AU6:AU10)</f>
        <v>425</v>
      </c>
      <c r="AV11" s="158">
        <f>SUM(AV6:AV10)</f>
        <v>547</v>
      </c>
      <c r="AW11" s="159">
        <f>SUM(AW6:AW10)</f>
        <v>1162</v>
      </c>
      <c r="AX11" s="154"/>
      <c r="AY11" s="158">
        <f>SUM(AY6:AY10)</f>
        <v>-250</v>
      </c>
      <c r="AZ11" s="158">
        <f>SUM(AZ6:AZ10)</f>
        <v>-23</v>
      </c>
      <c r="BA11" s="158">
        <f>SUM(BA6:BA10)</f>
        <v>179</v>
      </c>
      <c r="BB11" s="156">
        <f>SUM(BB6:BB10)</f>
        <v>857</v>
      </c>
      <c r="BC11" s="159">
        <f>SUM(BC6:BC10)</f>
        <v>763</v>
      </c>
      <c r="BD11" s="154"/>
      <c r="BE11" s="158">
        <f>SUM(BE6:BE10)</f>
        <v>167.3</v>
      </c>
      <c r="BF11" s="158">
        <f>SUM(BF6:BF10)</f>
        <v>21</v>
      </c>
      <c r="BG11" s="156">
        <f>SUM(BG6:BG10)</f>
        <v>203</v>
      </c>
      <c r="BH11" s="156">
        <f>SUM(BH6:BH10)</f>
        <v>191</v>
      </c>
      <c r="BI11" s="159">
        <f>SUM(BI6:BI10)</f>
        <v>582.29999999999995</v>
      </c>
      <c r="BK11" s="158">
        <f>SUM(BK6:BK10)</f>
        <v>-221</v>
      </c>
      <c r="BL11" s="156">
        <f>SUM(BL6:BL10)</f>
        <v>-263</v>
      </c>
      <c r="BM11" s="156">
        <f>SUM(BM6:BM10)</f>
        <v>-150</v>
      </c>
      <c r="BN11" s="156">
        <f>SUM(BN6:BN10)</f>
        <v>260</v>
      </c>
      <c r="BO11" s="159">
        <f>SUM(BO6:BO10)</f>
        <v>-374</v>
      </c>
      <c r="BQ11" s="158">
        <f>SUM(BQ6:BQ10)</f>
        <v>-453</v>
      </c>
      <c r="BR11" s="156">
        <f>SUM(BR6:BR10)</f>
        <v>72</v>
      </c>
      <c r="BS11" s="156">
        <f>SUM(BS6:BS10)</f>
        <v>399</v>
      </c>
      <c r="BT11" s="156">
        <f>SUM(BT6:BT10)</f>
        <v>540</v>
      </c>
      <c r="BU11" s="159">
        <f>SUM(BU6:BU10)</f>
        <v>558</v>
      </c>
      <c r="BW11" s="158">
        <f>SUM(BW6:BW10)</f>
        <v>27</v>
      </c>
      <c r="BX11" s="156">
        <f>SUM(BX6:BX10)</f>
        <v>66</v>
      </c>
      <c r="BY11" s="156">
        <f>SUM(BY6:BY10)</f>
        <v>30</v>
      </c>
      <c r="BZ11" s="156">
        <f>SUM(BZ6:BZ10)</f>
        <v>999</v>
      </c>
      <c r="CA11" s="159">
        <f>SUM(CA6:CA10)</f>
        <v>1122</v>
      </c>
      <c r="CC11" s="158">
        <f>SUM(CC6:CC10)</f>
        <v>-521</v>
      </c>
      <c r="CD11" s="158">
        <f>SUM(CD6:CD10)</f>
        <v>-10</v>
      </c>
      <c r="CE11" s="158">
        <f>SUM(CE6:CE10)</f>
        <v>356</v>
      </c>
      <c r="CF11" s="158">
        <f>SUM(CF6:CF10)</f>
        <v>720</v>
      </c>
      <c r="CG11" s="159">
        <f>SUM(CG6:CG10)</f>
        <v>545</v>
      </c>
      <c r="CI11" s="158">
        <f>SUM(CI6:CI10)</f>
        <v>199</v>
      </c>
      <c r="CJ11" s="158">
        <f>SUM(CJ6:CJ10)</f>
        <v>109</v>
      </c>
      <c r="CK11" s="158">
        <f>SUM(CK6:CK10)</f>
        <v>129</v>
      </c>
      <c r="CL11" s="158">
        <f>SUM(CL6:CL10)</f>
        <v>1146</v>
      </c>
      <c r="CM11" s="159">
        <f>SUM(CM6:CM10)</f>
        <v>1583</v>
      </c>
      <c r="CO11" s="158">
        <f>SUM(CO6:CO10)</f>
        <v>95</v>
      </c>
      <c r="CP11" s="158">
        <f>SUM(CP6:CP10)</f>
        <v>40</v>
      </c>
      <c r="CQ11" s="158"/>
      <c r="CR11" s="158"/>
      <c r="CS11" s="159">
        <f>SUM(CS6:CS10)</f>
        <v>135</v>
      </c>
    </row>
    <row r="12" spans="1:97" s="160" customFormat="1">
      <c r="B12" s="161"/>
      <c r="C12" s="162"/>
      <c r="D12" s="162"/>
      <c r="E12" s="162"/>
      <c r="F12" s="162"/>
      <c r="G12" s="136"/>
      <c r="H12" s="39"/>
      <c r="I12" s="162"/>
      <c r="J12" s="162"/>
      <c r="K12" s="162"/>
      <c r="L12" s="162"/>
      <c r="M12" s="136"/>
      <c r="O12" s="162"/>
      <c r="P12" s="162"/>
      <c r="Q12" s="162"/>
      <c r="R12" s="162"/>
      <c r="S12" s="136"/>
      <c r="U12" s="162"/>
      <c r="V12" s="162"/>
      <c r="W12" s="162"/>
      <c r="X12" s="162"/>
      <c r="Y12" s="136"/>
      <c r="AA12" s="162"/>
      <c r="AB12" s="162"/>
      <c r="AC12" s="162"/>
      <c r="AD12" s="162"/>
      <c r="AE12" s="136"/>
      <c r="AG12" s="162"/>
      <c r="AH12" s="162"/>
      <c r="AI12" s="162"/>
      <c r="AJ12" s="162"/>
      <c r="AK12" s="136"/>
      <c r="AM12" s="162"/>
      <c r="AN12" s="162"/>
      <c r="AO12" s="162"/>
      <c r="AP12" s="162"/>
      <c r="AQ12" s="136"/>
      <c r="AS12" s="162"/>
      <c r="AT12" s="162"/>
      <c r="AU12" s="162"/>
      <c r="AV12" s="162"/>
      <c r="AW12" s="136"/>
      <c r="AY12" s="162"/>
      <c r="AZ12" s="162"/>
      <c r="BA12" s="162"/>
      <c r="BB12" s="163"/>
      <c r="BC12" s="136"/>
      <c r="BE12" s="162"/>
      <c r="BF12" s="162"/>
      <c r="BG12" s="163"/>
      <c r="BH12" s="163"/>
      <c r="BI12" s="136"/>
      <c r="BK12" s="162"/>
      <c r="BL12" s="163"/>
      <c r="BM12" s="163"/>
      <c r="BN12" s="163"/>
      <c r="BO12" s="136"/>
      <c r="BQ12" s="162"/>
      <c r="BR12" s="163"/>
      <c r="BS12" s="163"/>
      <c r="BT12" s="163"/>
      <c r="BU12" s="136"/>
      <c r="BW12" s="162"/>
      <c r="BX12" s="163"/>
      <c r="BY12" s="163"/>
      <c r="BZ12" s="163"/>
      <c r="CA12" s="136"/>
      <c r="CC12" s="162"/>
      <c r="CD12" s="163"/>
      <c r="CE12" s="163"/>
      <c r="CF12" s="163"/>
      <c r="CG12" s="136"/>
      <c r="CI12" s="162"/>
      <c r="CJ12" s="163"/>
      <c r="CK12" s="163"/>
      <c r="CL12" s="163"/>
      <c r="CM12" s="136"/>
      <c r="CO12" s="162"/>
      <c r="CP12" s="163"/>
      <c r="CQ12" s="163"/>
      <c r="CR12" s="163"/>
      <c r="CS12" s="136"/>
    </row>
    <row r="13" spans="1:97">
      <c r="A13" s="2" t="s">
        <v>206</v>
      </c>
      <c r="C13" s="9"/>
      <c r="D13" s="9"/>
      <c r="E13" s="9"/>
      <c r="F13" s="9"/>
      <c r="G13" s="71"/>
      <c r="H13" s="8"/>
      <c r="I13" s="9"/>
      <c r="J13" s="9"/>
      <c r="K13" s="9"/>
      <c r="L13" s="9"/>
      <c r="M13" s="71"/>
      <c r="O13" s="9"/>
      <c r="P13" s="9"/>
      <c r="Q13" s="9"/>
      <c r="R13" s="9"/>
      <c r="S13" s="71"/>
      <c r="U13" s="9">
        <v>-41</v>
      </c>
      <c r="V13" s="9">
        <v>-875</v>
      </c>
      <c r="W13" s="9">
        <v>0</v>
      </c>
      <c r="X13" s="9">
        <v>-56</v>
      </c>
      <c r="Y13" s="71">
        <f>SUM(U13:X13)</f>
        <v>-972</v>
      </c>
      <c r="AA13" s="9">
        <v>-41</v>
      </c>
      <c r="AB13" s="9">
        <v>-869</v>
      </c>
      <c r="AC13" s="9">
        <v>0</v>
      </c>
      <c r="AD13" s="9">
        <v>-17</v>
      </c>
      <c r="AE13" s="71">
        <f>SUM(AA13:AD13)</f>
        <v>-927</v>
      </c>
      <c r="AG13" s="9">
        <f>97-13</f>
        <v>84</v>
      </c>
      <c r="AH13" s="9">
        <v>0</v>
      </c>
      <c r="AI13" s="9">
        <v>0</v>
      </c>
      <c r="AJ13" s="9">
        <v>-7</v>
      </c>
      <c r="AK13" s="71">
        <f>SUM(AG13:AJ13)</f>
        <v>77</v>
      </c>
      <c r="AM13" s="9">
        <v>-10</v>
      </c>
      <c r="AN13" s="9">
        <v>0</v>
      </c>
      <c r="AO13" s="9">
        <v>0</v>
      </c>
      <c r="AP13" s="9">
        <v>-4</v>
      </c>
      <c r="AQ13" s="71">
        <f>SUM(AM13:AP13)</f>
        <v>-14</v>
      </c>
      <c r="AS13" s="9">
        <v>-953</v>
      </c>
      <c r="AT13" s="9">
        <v>-103</v>
      </c>
      <c r="AU13" s="9">
        <v>-297</v>
      </c>
      <c r="AV13" s="9">
        <v>-42</v>
      </c>
      <c r="AW13" s="71">
        <f>SUM(AS13:AV13)</f>
        <v>-1395</v>
      </c>
      <c r="AY13" s="9">
        <v>-97</v>
      </c>
      <c r="AZ13" s="9">
        <v>-94</v>
      </c>
      <c r="BA13" s="9">
        <v>-24</v>
      </c>
      <c r="BB13" s="11">
        <v>0</v>
      </c>
      <c r="BC13" s="71">
        <f>SUM(AY13:BB13)</f>
        <v>-215</v>
      </c>
      <c r="BE13" s="9">
        <v>0</v>
      </c>
      <c r="BF13" s="9">
        <v>0</v>
      </c>
      <c r="BG13" s="11">
        <v>0</v>
      </c>
      <c r="BH13" s="11">
        <v>-11</v>
      </c>
      <c r="BI13" s="71">
        <f>SUM(BE13:BH13)</f>
        <v>-11</v>
      </c>
      <c r="BK13" s="9">
        <v>0</v>
      </c>
      <c r="BL13" s="11">
        <v>-22</v>
      </c>
      <c r="BM13" s="11">
        <v>-6</v>
      </c>
      <c r="BN13" s="11">
        <v>-21</v>
      </c>
      <c r="BO13" s="71">
        <f>SUM(BK13:BN13)</f>
        <v>-49</v>
      </c>
      <c r="BQ13" s="9">
        <v>-110</v>
      </c>
      <c r="BR13" s="11">
        <v>-41</v>
      </c>
      <c r="BS13" s="11">
        <v>-58</v>
      </c>
      <c r="BT13" s="11">
        <v>-15</v>
      </c>
      <c r="BU13" s="71">
        <f>SUM(BQ13:BT13)</f>
        <v>-224</v>
      </c>
      <c r="BW13" s="9">
        <v>-7</v>
      </c>
      <c r="BX13" s="11">
        <v>0</v>
      </c>
      <c r="BY13" s="11">
        <v>-3</v>
      </c>
      <c r="BZ13" s="11">
        <v>2</v>
      </c>
      <c r="CA13" s="71">
        <f>SUM(BW13:BZ13)</f>
        <v>-8</v>
      </c>
      <c r="CC13" s="9">
        <v>-1</v>
      </c>
      <c r="CD13" s="11">
        <v>-4</v>
      </c>
      <c r="CE13" s="11">
        <v>-230</v>
      </c>
      <c r="CF13" s="11">
        <v>9</v>
      </c>
      <c r="CG13" s="71">
        <f>SUM(CC13:CF13)</f>
        <v>-226</v>
      </c>
      <c r="CI13" s="9">
        <v>82</v>
      </c>
      <c r="CJ13" s="11">
        <v>0</v>
      </c>
      <c r="CK13" s="11">
        <v>0</v>
      </c>
      <c r="CL13" s="11">
        <v>-6</v>
      </c>
      <c r="CM13" s="71">
        <f>SUM(CI13:CL13)</f>
        <v>76</v>
      </c>
      <c r="CO13" s="9">
        <v>0</v>
      </c>
      <c r="CP13" s="11">
        <v>-119</v>
      </c>
      <c r="CQ13" s="11"/>
      <c r="CR13" s="11"/>
      <c r="CS13" s="71">
        <f>SUM(CO13:CR13)</f>
        <v>-119</v>
      </c>
    </row>
    <row r="14" spans="1:97">
      <c r="A14" s="2" t="s">
        <v>123</v>
      </c>
      <c r="C14" s="9">
        <v>-57</v>
      </c>
      <c r="D14" s="9">
        <v>17</v>
      </c>
      <c r="E14" s="9">
        <v>-22</v>
      </c>
      <c r="F14" s="9">
        <v>-61</v>
      </c>
      <c r="G14" s="71">
        <f>SUM(C14:F14)</f>
        <v>-123</v>
      </c>
      <c r="H14" s="8"/>
      <c r="I14" s="9">
        <v>80</v>
      </c>
      <c r="J14" s="9">
        <v>-48</v>
      </c>
      <c r="K14" s="9">
        <v>32</v>
      </c>
      <c r="L14" s="9">
        <v>-7</v>
      </c>
      <c r="M14" s="71">
        <f>SUM(I14:L14)</f>
        <v>57</v>
      </c>
      <c r="O14" s="9">
        <v>-20</v>
      </c>
      <c r="P14" s="9">
        <v>-23</v>
      </c>
      <c r="Q14" s="9">
        <v>-29</v>
      </c>
      <c r="R14" s="9">
        <v>-44</v>
      </c>
      <c r="S14" s="71">
        <f>SUM(O14:R14)</f>
        <v>-116</v>
      </c>
      <c r="U14" s="9">
        <v>-41</v>
      </c>
      <c r="V14" s="9">
        <v>-52</v>
      </c>
      <c r="W14" s="9">
        <v>199</v>
      </c>
      <c r="X14" s="9">
        <v>29</v>
      </c>
      <c r="Y14" s="71">
        <f>SUM(U14:X14)</f>
        <v>135</v>
      </c>
      <c r="AA14" s="9">
        <v>-39</v>
      </c>
      <c r="AB14" s="9">
        <v>-51</v>
      </c>
      <c r="AC14" s="9">
        <v>199</v>
      </c>
      <c r="AD14" s="9">
        <v>31</v>
      </c>
      <c r="AE14" s="71">
        <f>SUM(AA14:AD14)</f>
        <v>140</v>
      </c>
      <c r="AG14" s="9">
        <v>-28</v>
      </c>
      <c r="AH14" s="9">
        <v>-15</v>
      </c>
      <c r="AI14" s="9">
        <v>-56</v>
      </c>
      <c r="AJ14" s="9">
        <v>-6</v>
      </c>
      <c r="AK14" s="71">
        <f>SUM(AG14:AJ14)</f>
        <v>-105</v>
      </c>
      <c r="AM14" s="9">
        <v>-67</v>
      </c>
      <c r="AN14" s="9">
        <v>176</v>
      </c>
      <c r="AO14" s="9">
        <v>-46</v>
      </c>
      <c r="AP14" s="9">
        <v>-92</v>
      </c>
      <c r="AQ14" s="71">
        <f>SUM(AM14:AP14)</f>
        <v>-29</v>
      </c>
      <c r="AR14" s="2" t="s">
        <v>63</v>
      </c>
      <c r="AS14" s="9">
        <v>-89</v>
      </c>
      <c r="AT14" s="9">
        <v>-85</v>
      </c>
      <c r="AU14" s="9">
        <v>-84</v>
      </c>
      <c r="AV14" s="9">
        <v>-131</v>
      </c>
      <c r="AW14" s="71">
        <f>SUM(AS14:AV14)</f>
        <v>-389</v>
      </c>
      <c r="AX14" s="2" t="s">
        <v>63</v>
      </c>
      <c r="AY14" s="9">
        <v>187</v>
      </c>
      <c r="AZ14" s="9">
        <v>-154</v>
      </c>
      <c r="BA14" s="9">
        <f>-408-33+272</f>
        <v>-169</v>
      </c>
      <c r="BB14" s="11">
        <v>-304</v>
      </c>
      <c r="BC14" s="71">
        <f>SUM(AY14:BB14)</f>
        <v>-440</v>
      </c>
      <c r="BD14" s="2" t="s">
        <v>63</v>
      </c>
      <c r="BE14" s="9">
        <v>-166</v>
      </c>
      <c r="BF14" s="27">
        <v>-255</v>
      </c>
      <c r="BG14" s="11">
        <v>-247</v>
      </c>
      <c r="BH14" s="11">
        <v>-200</v>
      </c>
      <c r="BI14" s="71">
        <f>SUM(BE14:BH14)</f>
        <v>-868</v>
      </c>
      <c r="BK14" s="9">
        <v>-295</v>
      </c>
      <c r="BL14" s="11">
        <v>-153</v>
      </c>
      <c r="BM14" s="11">
        <v>-131</v>
      </c>
      <c r="BN14" s="11">
        <v>-144</v>
      </c>
      <c r="BO14" s="71">
        <f>SUM(BK14:BN14)</f>
        <v>-723</v>
      </c>
      <c r="BQ14" s="9">
        <v>-93</v>
      </c>
      <c r="BR14" s="11">
        <v>-109</v>
      </c>
      <c r="BS14" s="11">
        <v>-100</v>
      </c>
      <c r="BT14" s="11">
        <v>-125</v>
      </c>
      <c r="BU14" s="71">
        <f>SUM(BQ14:BT14)</f>
        <v>-427</v>
      </c>
      <c r="BW14" s="9">
        <v>-88</v>
      </c>
      <c r="BX14" s="11">
        <v>-67</v>
      </c>
      <c r="BY14" s="11">
        <v>-53</v>
      </c>
      <c r="BZ14" s="11">
        <v>-109</v>
      </c>
      <c r="CA14" s="71">
        <f>SUM(BW14:BZ14)</f>
        <v>-317</v>
      </c>
      <c r="CC14" s="9">
        <v>-60</v>
      </c>
      <c r="CD14" s="11">
        <v>-53</v>
      </c>
      <c r="CE14" s="11">
        <v>-52</v>
      </c>
      <c r="CF14" s="11">
        <v>-79</v>
      </c>
      <c r="CG14" s="71">
        <f>SUM(CC14:CF14)</f>
        <v>-244</v>
      </c>
      <c r="CI14" s="9">
        <v>-50</v>
      </c>
      <c r="CJ14" s="11">
        <v>-49</v>
      </c>
      <c r="CK14" s="11">
        <v>-70</v>
      </c>
      <c r="CL14" s="11">
        <v>-62</v>
      </c>
      <c r="CM14" s="71">
        <f>SUM(CI14:CL14)</f>
        <v>-231</v>
      </c>
      <c r="CO14" s="9">
        <v>-38</v>
      </c>
      <c r="CP14" s="11">
        <v>-55</v>
      </c>
      <c r="CQ14" s="11"/>
      <c r="CR14" s="11"/>
      <c r="CS14" s="71">
        <f>SUM(CO14:CR14)</f>
        <v>-93</v>
      </c>
    </row>
    <row r="15" spans="1:97" ht="15" customHeight="1">
      <c r="A15" s="2" t="s">
        <v>205</v>
      </c>
      <c r="C15" s="9">
        <v>0</v>
      </c>
      <c r="D15" s="9">
        <v>0</v>
      </c>
      <c r="E15" s="9">
        <v>0</v>
      </c>
      <c r="F15" s="9">
        <v>0</v>
      </c>
      <c r="G15" s="71">
        <f>SUM(C15:F15)</f>
        <v>0</v>
      </c>
      <c r="H15" s="8"/>
      <c r="I15" s="9">
        <v>-16</v>
      </c>
      <c r="J15" s="9">
        <v>0</v>
      </c>
      <c r="K15" s="9">
        <v>0</v>
      </c>
      <c r="L15" s="9">
        <v>90</v>
      </c>
      <c r="M15" s="71">
        <f>SUM(I15:L15)</f>
        <v>74</v>
      </c>
      <c r="O15" s="9">
        <v>0</v>
      </c>
      <c r="P15" s="9">
        <v>0</v>
      </c>
      <c r="Q15" s="9">
        <v>0</v>
      </c>
      <c r="R15" s="9">
        <v>0</v>
      </c>
      <c r="S15" s="71">
        <f>SUM(O15:R15)</f>
        <v>0</v>
      </c>
      <c r="U15" s="9">
        <v>29</v>
      </c>
      <c r="V15" s="9">
        <v>0</v>
      </c>
      <c r="W15" s="9">
        <v>0</v>
      </c>
      <c r="X15" s="9"/>
      <c r="Y15" s="71">
        <f>SUM(U15:X15)</f>
        <v>29</v>
      </c>
      <c r="AA15" s="9"/>
      <c r="AB15" s="9"/>
      <c r="AC15" s="9"/>
      <c r="AD15" s="9"/>
      <c r="AE15" s="71">
        <f>SUM(AA15:AD15)</f>
        <v>0</v>
      </c>
      <c r="AG15" s="9">
        <v>-20</v>
      </c>
      <c r="AH15" s="9">
        <v>0</v>
      </c>
      <c r="AI15" s="9">
        <v>0</v>
      </c>
      <c r="AJ15" s="9">
        <v>0</v>
      </c>
      <c r="AK15" s="71">
        <f>SUM(AG15:AJ15)</f>
        <v>-20</v>
      </c>
      <c r="AM15" s="9">
        <v>0</v>
      </c>
      <c r="AN15" s="9">
        <v>0</v>
      </c>
      <c r="AO15" s="9">
        <v>-58</v>
      </c>
      <c r="AP15" s="9">
        <v>0</v>
      </c>
      <c r="AQ15" s="71">
        <f>SUM(AM15:AP15)</f>
        <v>-58</v>
      </c>
      <c r="AS15" s="9">
        <v>0</v>
      </c>
      <c r="AT15" s="9">
        <v>0</v>
      </c>
      <c r="AU15" s="9">
        <v>0</v>
      </c>
      <c r="AV15" s="9">
        <v>0</v>
      </c>
      <c r="AW15" s="71">
        <f>SUM(AS15:AV15)</f>
        <v>0</v>
      </c>
      <c r="AY15" s="9">
        <v>0</v>
      </c>
      <c r="AZ15" s="9">
        <v>0</v>
      </c>
      <c r="BA15" s="9">
        <v>0</v>
      </c>
      <c r="BB15" s="11">
        <v>0</v>
      </c>
      <c r="BC15" s="71">
        <f>SUM(AY15:BB15)</f>
        <v>0</v>
      </c>
      <c r="BE15" s="9">
        <v>0</v>
      </c>
      <c r="BF15" s="27">
        <v>0</v>
      </c>
      <c r="BG15" s="11">
        <v>0</v>
      </c>
      <c r="BH15" s="11">
        <v>-23</v>
      </c>
      <c r="BI15" s="71">
        <f>SUM(BE15:BH15)</f>
        <v>-23</v>
      </c>
      <c r="BK15" s="9">
        <v>0</v>
      </c>
      <c r="BL15" s="11">
        <v>0</v>
      </c>
      <c r="BM15" s="11">
        <v>0</v>
      </c>
      <c r="BN15" s="11">
        <v>0</v>
      </c>
      <c r="BO15" s="71">
        <f>SUM(BK15:BN15)</f>
        <v>0</v>
      </c>
      <c r="BQ15" s="9">
        <v>0</v>
      </c>
      <c r="BR15" s="11">
        <v>0</v>
      </c>
      <c r="BS15" s="11">
        <v>0</v>
      </c>
      <c r="BT15" s="11">
        <v>0</v>
      </c>
      <c r="BU15" s="71">
        <f>SUM(BQ15:BT15)</f>
        <v>0</v>
      </c>
      <c r="BW15" s="9">
        <v>0</v>
      </c>
      <c r="BX15" s="11">
        <v>0</v>
      </c>
      <c r="BY15" s="11">
        <v>0</v>
      </c>
      <c r="BZ15" s="11">
        <v>0</v>
      </c>
      <c r="CA15" s="71">
        <f>SUM(BW15:BZ15)</f>
        <v>0</v>
      </c>
      <c r="CC15" s="9"/>
      <c r="CD15" s="11"/>
      <c r="CE15" s="11"/>
      <c r="CF15" s="11"/>
      <c r="CG15" s="71">
        <f>SUM(CC15:CF15)</f>
        <v>0</v>
      </c>
      <c r="CI15" s="9"/>
      <c r="CJ15" s="11"/>
      <c r="CK15" s="11"/>
      <c r="CL15" s="11"/>
      <c r="CM15" s="71">
        <f>SUM(CI15:CL15)</f>
        <v>0</v>
      </c>
      <c r="CO15" s="9"/>
      <c r="CP15" s="11"/>
      <c r="CQ15" s="11"/>
      <c r="CR15" s="11"/>
      <c r="CS15" s="71">
        <f>SUM(CO15:CR15)</f>
        <v>0</v>
      </c>
    </row>
    <row r="16" spans="1:97">
      <c r="A16" s="2" t="s">
        <v>89</v>
      </c>
      <c r="C16" s="9"/>
      <c r="D16" s="9"/>
      <c r="E16" s="9"/>
      <c r="F16" s="9"/>
      <c r="G16" s="71"/>
      <c r="H16" s="8"/>
      <c r="I16" s="9"/>
      <c r="J16" s="9"/>
      <c r="K16" s="9"/>
      <c r="L16" s="9"/>
      <c r="M16" s="71"/>
      <c r="O16" s="9"/>
      <c r="P16" s="9"/>
      <c r="Q16" s="9"/>
      <c r="R16" s="9"/>
      <c r="S16" s="71"/>
      <c r="U16" s="9"/>
      <c r="V16" s="9"/>
      <c r="W16" s="9"/>
      <c r="X16" s="9"/>
      <c r="Y16" s="71"/>
      <c r="AA16" s="9"/>
      <c r="AB16" s="9"/>
      <c r="AC16" s="9"/>
      <c r="AD16" s="9"/>
      <c r="AE16" s="71"/>
      <c r="AG16" s="9"/>
      <c r="AH16" s="9"/>
      <c r="AI16" s="9"/>
      <c r="AJ16" s="9"/>
      <c r="AK16" s="71"/>
      <c r="AM16" s="9"/>
      <c r="AN16" s="9"/>
      <c r="AO16" s="9"/>
      <c r="AP16" s="9"/>
      <c r="AQ16" s="71"/>
      <c r="AS16" s="9">
        <v>36</v>
      </c>
      <c r="AT16" s="9">
        <v>0</v>
      </c>
      <c r="AU16" s="9">
        <v>0</v>
      </c>
      <c r="AV16" s="9">
        <v>0</v>
      </c>
      <c r="AW16" s="71">
        <f>SUM(AS16:AV16)</f>
        <v>36</v>
      </c>
      <c r="AY16" s="9">
        <v>26</v>
      </c>
      <c r="AZ16" s="9">
        <v>0</v>
      </c>
      <c r="BA16" s="9">
        <v>0</v>
      </c>
      <c r="BB16" s="11">
        <v>0</v>
      </c>
      <c r="BC16" s="71">
        <f>SUM(AY16:BB16)</f>
        <v>26</v>
      </c>
      <c r="BE16" s="9">
        <v>0</v>
      </c>
      <c r="BF16" s="27">
        <v>0</v>
      </c>
      <c r="BG16" s="11">
        <v>0</v>
      </c>
      <c r="BH16" s="11">
        <v>0</v>
      </c>
      <c r="BI16" s="71">
        <f>SUM(BE16:BH16)</f>
        <v>0</v>
      </c>
      <c r="BK16" s="9">
        <v>0</v>
      </c>
      <c r="BL16" s="11">
        <v>77</v>
      </c>
      <c r="BM16" s="11">
        <v>0</v>
      </c>
      <c r="BN16" s="11">
        <v>0</v>
      </c>
      <c r="BO16" s="71">
        <f>SUM(BK16:BN16)</f>
        <v>77</v>
      </c>
      <c r="BQ16" s="9">
        <v>0</v>
      </c>
      <c r="BR16" s="11">
        <v>0</v>
      </c>
      <c r="BS16" s="11">
        <v>0</v>
      </c>
      <c r="BT16" s="11">
        <v>0</v>
      </c>
      <c r="BU16" s="71">
        <f>SUM(BQ16:BT16)</f>
        <v>0</v>
      </c>
      <c r="BW16" s="9">
        <v>0</v>
      </c>
      <c r="BX16" s="11">
        <v>0</v>
      </c>
      <c r="BY16" s="11">
        <v>0</v>
      </c>
      <c r="BZ16" s="11">
        <v>0</v>
      </c>
      <c r="CA16" s="71">
        <f>SUM(BW16:BZ16)</f>
        <v>0</v>
      </c>
      <c r="CC16" s="9"/>
      <c r="CD16" s="11"/>
      <c r="CE16" s="11"/>
      <c r="CF16" s="11"/>
      <c r="CG16" s="71">
        <f>SUM(CC16:CF16)</f>
        <v>0</v>
      </c>
      <c r="CI16" s="9"/>
      <c r="CJ16" s="11"/>
      <c r="CK16" s="11"/>
      <c r="CL16" s="11"/>
      <c r="CM16" s="71">
        <f>SUM(CI16:CL16)</f>
        <v>0</v>
      </c>
      <c r="CO16" s="9"/>
      <c r="CP16" s="11"/>
      <c r="CQ16" s="11"/>
      <c r="CR16" s="11"/>
      <c r="CS16" s="71">
        <f>SUM(CO16:CR16)</f>
        <v>0</v>
      </c>
    </row>
    <row r="17" spans="1:97" s="6" customFormat="1" ht="12.75" customHeight="1">
      <c r="A17" s="2" t="s">
        <v>197</v>
      </c>
      <c r="B17" s="3"/>
      <c r="C17" s="13">
        <v>-19</v>
      </c>
      <c r="D17" s="13">
        <v>-18</v>
      </c>
      <c r="E17" s="13">
        <v>-4</v>
      </c>
      <c r="F17" s="13">
        <v>-6</v>
      </c>
      <c r="G17" s="71">
        <f>SUM(C17:F17)</f>
        <v>-47</v>
      </c>
      <c r="H17" s="8"/>
      <c r="I17" s="13">
        <v>-30</v>
      </c>
      <c r="J17" s="13">
        <v>-14</v>
      </c>
      <c r="K17" s="13">
        <v>-27</v>
      </c>
      <c r="L17" s="13">
        <v>-23</v>
      </c>
      <c r="M17" s="71">
        <f>SUM(I17:L17)</f>
        <v>-94</v>
      </c>
      <c r="N17" s="2"/>
      <c r="O17" s="13">
        <v>-11</v>
      </c>
      <c r="P17" s="13">
        <v>1</v>
      </c>
      <c r="Q17" s="13">
        <v>-17</v>
      </c>
      <c r="R17" s="13">
        <v>-7</v>
      </c>
      <c r="S17" s="71">
        <f>SUM(O17:R17)</f>
        <v>-34</v>
      </c>
      <c r="T17" s="2"/>
      <c r="U17" s="13">
        <f>-52+41</f>
        <v>-11</v>
      </c>
      <c r="V17" s="13">
        <v>20</v>
      </c>
      <c r="W17" s="13">
        <v>-29</v>
      </c>
      <c r="X17" s="13">
        <v>4</v>
      </c>
      <c r="Y17" s="71">
        <f>SUM(U17:X17)</f>
        <v>-16</v>
      </c>
      <c r="Z17" s="2"/>
      <c r="AA17" s="13">
        <v>-41</v>
      </c>
      <c r="AB17" s="13">
        <v>19</v>
      </c>
      <c r="AC17" s="13">
        <v>-28</v>
      </c>
      <c r="AD17" s="13">
        <v>2</v>
      </c>
      <c r="AE17" s="71">
        <f>SUM(AA17:AD17)</f>
        <v>-48</v>
      </c>
      <c r="AF17" s="2"/>
      <c r="AG17" s="13">
        <v>-12</v>
      </c>
      <c r="AH17" s="13">
        <v>-12</v>
      </c>
      <c r="AI17" s="13">
        <v>-14</v>
      </c>
      <c r="AJ17" s="13">
        <v>-31</v>
      </c>
      <c r="AK17" s="71">
        <f>SUM(AG17:AJ17)</f>
        <v>-69</v>
      </c>
      <c r="AL17" s="2"/>
      <c r="AM17" s="13">
        <v>-38</v>
      </c>
      <c r="AN17" s="13">
        <v>-21</v>
      </c>
      <c r="AO17" s="13">
        <v>-26</v>
      </c>
      <c r="AP17" s="13">
        <v>-9</v>
      </c>
      <c r="AQ17" s="71">
        <f>SUM(AM17:AP17)</f>
        <v>-94</v>
      </c>
      <c r="AR17" s="2"/>
      <c r="AS17" s="13">
        <v>-23</v>
      </c>
      <c r="AT17" s="13">
        <v>-51</v>
      </c>
      <c r="AU17" s="13">
        <v>-27</v>
      </c>
      <c r="AV17" s="13">
        <v>-46</v>
      </c>
      <c r="AW17" s="71">
        <f>SUM(AS17:AV17)</f>
        <v>-147</v>
      </c>
      <c r="AX17" s="2"/>
      <c r="AY17" s="13">
        <v>-51</v>
      </c>
      <c r="AZ17" s="13">
        <v>-36</v>
      </c>
      <c r="BA17" s="38">
        <v>-16</v>
      </c>
      <c r="BB17" s="38">
        <v>-44</v>
      </c>
      <c r="BC17" s="71">
        <f>SUM(AY17:BB17)</f>
        <v>-147</v>
      </c>
      <c r="BD17" s="2"/>
      <c r="BE17" s="13">
        <v>-39</v>
      </c>
      <c r="BF17" s="46">
        <v>-41</v>
      </c>
      <c r="BG17" s="38">
        <v>-36</v>
      </c>
      <c r="BH17" s="38">
        <v>-10</v>
      </c>
      <c r="BI17" s="71">
        <f>SUM(BE17:BH17)</f>
        <v>-126</v>
      </c>
      <c r="BK17" s="13">
        <v>-26</v>
      </c>
      <c r="BL17" s="38">
        <v>-39</v>
      </c>
      <c r="BM17" s="38">
        <v>-26</v>
      </c>
      <c r="BN17" s="38">
        <v>-63</v>
      </c>
      <c r="BO17" s="71">
        <f>SUM(BK17:BN17)</f>
        <v>-154</v>
      </c>
      <c r="BQ17" s="13">
        <v>-29</v>
      </c>
      <c r="BR17" s="38">
        <v>-38</v>
      </c>
      <c r="BS17" s="38">
        <v>-37</v>
      </c>
      <c r="BT17" s="38">
        <v>-52</v>
      </c>
      <c r="BU17" s="71">
        <f>SUM(BQ17:BT17)</f>
        <v>-156</v>
      </c>
      <c r="BW17" s="13">
        <v>-39</v>
      </c>
      <c r="BX17" s="38">
        <v>-52</v>
      </c>
      <c r="BY17" s="38">
        <v>-61</v>
      </c>
      <c r="BZ17" s="38">
        <v>-55</v>
      </c>
      <c r="CA17" s="71">
        <f>SUM(BW17:BZ17)</f>
        <v>-207</v>
      </c>
      <c r="CC17" s="13">
        <v>-52</v>
      </c>
      <c r="CD17" s="38">
        <v>-55</v>
      </c>
      <c r="CE17" s="38">
        <v>-44</v>
      </c>
      <c r="CF17" s="38">
        <v>-73</v>
      </c>
      <c r="CG17" s="71">
        <f>SUM(CC17:CF17)</f>
        <v>-224</v>
      </c>
      <c r="CI17" s="13">
        <v>-44</v>
      </c>
      <c r="CJ17" s="38">
        <v>-61</v>
      </c>
      <c r="CK17" s="38">
        <v>-54</v>
      </c>
      <c r="CL17" s="38">
        <v>-62</v>
      </c>
      <c r="CM17" s="71">
        <f>SUM(CI17:CL17)</f>
        <v>-221</v>
      </c>
      <c r="CO17" s="13">
        <v>-55</v>
      </c>
      <c r="CP17" s="38">
        <v>-48</v>
      </c>
      <c r="CQ17" s="38"/>
      <c r="CR17" s="38"/>
      <c r="CS17" s="71">
        <f>SUM(CO17:CR17)</f>
        <v>-103</v>
      </c>
    </row>
    <row r="18" spans="1:97" s="157" customFormat="1">
      <c r="A18" s="154" t="s">
        <v>124</v>
      </c>
      <c r="B18" s="155"/>
      <c r="C18" s="158">
        <f>SUM(C14:C17)</f>
        <v>-76</v>
      </c>
      <c r="D18" s="158">
        <f>SUM(D14:D17)</f>
        <v>-1</v>
      </c>
      <c r="E18" s="158">
        <f>SUM(E14:E17)</f>
        <v>-26</v>
      </c>
      <c r="F18" s="158">
        <f>SUM(F14:F17)</f>
        <v>-67</v>
      </c>
      <c r="G18" s="159">
        <f>SUM(G14:G17)</f>
        <v>-170</v>
      </c>
      <c r="H18" s="156"/>
      <c r="I18" s="158">
        <f>SUM(I14:I17)</f>
        <v>34</v>
      </c>
      <c r="J18" s="158">
        <f>SUM(J14:J17)</f>
        <v>-62</v>
      </c>
      <c r="K18" s="158">
        <f>SUM(K14:K17)</f>
        <v>5</v>
      </c>
      <c r="L18" s="158">
        <f>SUM(L14:L17)</f>
        <v>60</v>
      </c>
      <c r="M18" s="159">
        <f>SUM(M14:M17)</f>
        <v>37</v>
      </c>
      <c r="N18" s="154"/>
      <c r="O18" s="158">
        <f>SUM(O14:O17)</f>
        <v>-31</v>
      </c>
      <c r="P18" s="158">
        <f>SUM(P14:P17)</f>
        <v>-22</v>
      </c>
      <c r="Q18" s="158">
        <f>SUM(Q14:Q17)</f>
        <v>-46</v>
      </c>
      <c r="R18" s="158">
        <f>SUM(R14:R17)</f>
        <v>-51</v>
      </c>
      <c r="S18" s="159">
        <f>SUM(S14:S17)</f>
        <v>-150</v>
      </c>
      <c r="T18" s="154"/>
      <c r="U18" s="158">
        <f>SUM(U13:U17)</f>
        <v>-64</v>
      </c>
      <c r="V18" s="158">
        <f>SUM(V13:V17)</f>
        <v>-907</v>
      </c>
      <c r="W18" s="158">
        <f>SUM(W13:W17)</f>
        <v>170</v>
      </c>
      <c r="X18" s="158">
        <f>SUM(X13:X17)</f>
        <v>-23</v>
      </c>
      <c r="Y18" s="159">
        <f>SUM(Y13:Y17)</f>
        <v>-824</v>
      </c>
      <c r="Z18" s="154"/>
      <c r="AA18" s="158">
        <f>SUM(AA13:AA17)</f>
        <v>-121</v>
      </c>
      <c r="AB18" s="158">
        <f>SUM(AB13:AB17)</f>
        <v>-901</v>
      </c>
      <c r="AC18" s="158">
        <f>SUM(AC13:AC17)</f>
        <v>171</v>
      </c>
      <c r="AD18" s="158">
        <f>SUM(AD13:AD17)</f>
        <v>16</v>
      </c>
      <c r="AE18" s="159">
        <f>SUM(AE13:AE17)</f>
        <v>-835</v>
      </c>
      <c r="AF18" s="154"/>
      <c r="AG18" s="158">
        <f>SUM(AG13:AG17)</f>
        <v>24</v>
      </c>
      <c r="AH18" s="158">
        <f>SUM(AH13:AH17)</f>
        <v>-27</v>
      </c>
      <c r="AI18" s="158">
        <f>SUM(AI13:AI17)</f>
        <v>-70</v>
      </c>
      <c r="AJ18" s="158">
        <f>SUM(AJ13:AJ17)</f>
        <v>-44</v>
      </c>
      <c r="AK18" s="159">
        <f>SUM(AK13:AK17)</f>
        <v>-117</v>
      </c>
      <c r="AL18" s="154"/>
      <c r="AM18" s="158">
        <f>SUM(AM13:AM17)</f>
        <v>-115</v>
      </c>
      <c r="AN18" s="158">
        <f>SUM(AN13:AN17)</f>
        <v>155</v>
      </c>
      <c r="AO18" s="158">
        <f>SUM(AO13:AO17)</f>
        <v>-130</v>
      </c>
      <c r="AP18" s="158">
        <f>SUM(AP13:AP17)</f>
        <v>-105</v>
      </c>
      <c r="AQ18" s="159">
        <f>SUM(AQ13:AQ17)</f>
        <v>-195</v>
      </c>
      <c r="AR18" s="154"/>
      <c r="AS18" s="158">
        <f>SUM(AS13:AS17)</f>
        <v>-1029</v>
      </c>
      <c r="AT18" s="158">
        <f>SUM(AT13:AT17)</f>
        <v>-239</v>
      </c>
      <c r="AU18" s="158">
        <f>SUM(AU13:AU17)</f>
        <v>-408</v>
      </c>
      <c r="AV18" s="158">
        <f>SUM(AV13:AV17)</f>
        <v>-219</v>
      </c>
      <c r="AW18" s="159">
        <f>SUM(AW13:AW17)</f>
        <v>-1895</v>
      </c>
      <c r="AX18" s="154"/>
      <c r="AY18" s="158">
        <f>SUM(AY13:AY17)</f>
        <v>65</v>
      </c>
      <c r="AZ18" s="158">
        <f>SUM(AZ13:AZ17)</f>
        <v>-284</v>
      </c>
      <c r="BA18" s="158">
        <f>SUM(BA13:BA17)</f>
        <v>-209</v>
      </c>
      <c r="BB18" s="156">
        <f>SUM(BB13:BB17)</f>
        <v>-348</v>
      </c>
      <c r="BC18" s="159">
        <f>SUM(BC13:BC17)</f>
        <v>-776</v>
      </c>
      <c r="BD18" s="154"/>
      <c r="BE18" s="158">
        <f>SUM(BE13:BE17)</f>
        <v>-205</v>
      </c>
      <c r="BF18" s="158">
        <f>SUM(BF13:BF17)</f>
        <v>-296</v>
      </c>
      <c r="BG18" s="156">
        <f>SUM(BG13:BG17)</f>
        <v>-283</v>
      </c>
      <c r="BH18" s="156">
        <f>SUM(BH13:BH17)</f>
        <v>-244</v>
      </c>
      <c r="BI18" s="159">
        <f>SUM(BI13:BI17)</f>
        <v>-1028</v>
      </c>
      <c r="BK18" s="158">
        <f>SUM(BK13:BK17)</f>
        <v>-321</v>
      </c>
      <c r="BL18" s="156">
        <f>SUM(BL13:BL17)</f>
        <v>-137</v>
      </c>
      <c r="BM18" s="156">
        <f>SUM(BM13:BM17)</f>
        <v>-163</v>
      </c>
      <c r="BN18" s="156">
        <f>SUM(BN13:BN17)</f>
        <v>-228</v>
      </c>
      <c r="BO18" s="159">
        <f>SUM(BO13:BO17)</f>
        <v>-849</v>
      </c>
      <c r="BQ18" s="158">
        <f>SUM(BQ13:BQ17)</f>
        <v>-232</v>
      </c>
      <c r="BR18" s="156">
        <f>SUM(BR13:BR17)</f>
        <v>-188</v>
      </c>
      <c r="BS18" s="156">
        <f>SUM(BS13:BS17)</f>
        <v>-195</v>
      </c>
      <c r="BT18" s="156">
        <f>SUM(BT13:BT17)</f>
        <v>-192</v>
      </c>
      <c r="BU18" s="159">
        <f>SUM(BU13:BU17)</f>
        <v>-807</v>
      </c>
      <c r="BW18" s="158">
        <f>SUM(BW13:BW17)</f>
        <v>-134</v>
      </c>
      <c r="BX18" s="156">
        <f>SUM(BX13:BX17)</f>
        <v>-119</v>
      </c>
      <c r="BY18" s="156">
        <f>SUM(BY13:BY17)</f>
        <v>-117</v>
      </c>
      <c r="BZ18" s="156">
        <f>SUM(BZ13:BZ17)</f>
        <v>-162</v>
      </c>
      <c r="CA18" s="159">
        <f>SUM(CA13:CA17)</f>
        <v>-532</v>
      </c>
      <c r="CC18" s="158">
        <f>SUM(CC13:CC17)</f>
        <v>-113</v>
      </c>
      <c r="CD18" s="158">
        <f>SUM(CD13:CD17)</f>
        <v>-112</v>
      </c>
      <c r="CE18" s="158">
        <f>SUM(CE13:CE17)</f>
        <v>-326</v>
      </c>
      <c r="CF18" s="158">
        <f>SUM(CF13:CF17)</f>
        <v>-143</v>
      </c>
      <c r="CG18" s="159">
        <f>SUM(CG13:CG17)</f>
        <v>-694</v>
      </c>
      <c r="CI18" s="158">
        <f>SUM(CI13:CI17)</f>
        <v>-12</v>
      </c>
      <c r="CJ18" s="158">
        <f>SUM(CJ13:CJ17)</f>
        <v>-110</v>
      </c>
      <c r="CK18" s="158">
        <f>SUM(CK13:CK17)</f>
        <v>-124</v>
      </c>
      <c r="CL18" s="158">
        <f>SUM(CL13:CL17)</f>
        <v>-130</v>
      </c>
      <c r="CM18" s="159">
        <f>SUM(CM13:CM17)</f>
        <v>-376</v>
      </c>
      <c r="CO18" s="158">
        <f>SUM(CO13:CO17)</f>
        <v>-93</v>
      </c>
      <c r="CP18" s="158">
        <f>SUM(CP13:CP17)</f>
        <v>-222</v>
      </c>
      <c r="CQ18" s="158"/>
      <c r="CR18" s="158"/>
      <c r="CS18" s="159">
        <f>SUM(CS13:CS17)</f>
        <v>-315</v>
      </c>
    </row>
    <row r="19" spans="1:97" s="164" customFormat="1" ht="18.75" customHeight="1">
      <c r="A19" s="160"/>
      <c r="B19" s="161"/>
      <c r="C19" s="162"/>
      <c r="D19" s="162"/>
      <c r="E19" s="162"/>
      <c r="F19" s="162"/>
      <c r="G19" s="136"/>
      <c r="H19" s="39"/>
      <c r="I19" s="162"/>
      <c r="J19" s="162"/>
      <c r="K19" s="162"/>
      <c r="L19" s="162"/>
      <c r="M19" s="136"/>
      <c r="N19" s="160"/>
      <c r="O19" s="162"/>
      <c r="P19" s="162"/>
      <c r="Q19" s="162"/>
      <c r="R19" s="162"/>
      <c r="S19" s="136"/>
      <c r="T19" s="160"/>
      <c r="U19" s="162"/>
      <c r="V19" s="162"/>
      <c r="W19" s="162"/>
      <c r="X19" s="162"/>
      <c r="Y19" s="136"/>
      <c r="Z19" s="160"/>
      <c r="AA19" s="162"/>
      <c r="AB19" s="162"/>
      <c r="AC19" s="162"/>
      <c r="AD19" s="162"/>
      <c r="AE19" s="136"/>
      <c r="AF19" s="160"/>
      <c r="AG19" s="162"/>
      <c r="AH19" s="162"/>
      <c r="AI19" s="162"/>
      <c r="AJ19" s="162"/>
      <c r="AK19" s="136"/>
      <c r="AL19" s="160"/>
      <c r="AM19" s="162"/>
      <c r="AN19" s="162"/>
      <c r="AO19" s="162"/>
      <c r="AP19" s="162"/>
      <c r="AQ19" s="136"/>
      <c r="AR19" s="160"/>
      <c r="AS19" s="162"/>
      <c r="AT19" s="162"/>
      <c r="AU19" s="162"/>
      <c r="AV19" s="162"/>
      <c r="AW19" s="136"/>
      <c r="AX19" s="160"/>
      <c r="AY19" s="162"/>
      <c r="AZ19" s="162"/>
      <c r="BA19" s="162"/>
      <c r="BB19" s="163"/>
      <c r="BC19" s="136"/>
      <c r="BD19" s="160"/>
      <c r="BE19" s="162"/>
      <c r="BF19" s="162"/>
      <c r="BG19" s="163"/>
      <c r="BH19" s="163"/>
      <c r="BI19" s="136"/>
      <c r="BK19" s="162"/>
      <c r="BL19" s="163"/>
      <c r="BM19" s="163"/>
      <c r="BN19" s="163"/>
      <c r="BO19" s="136"/>
      <c r="BQ19" s="162"/>
      <c r="BR19" s="163"/>
      <c r="BS19" s="163"/>
      <c r="BT19" s="163"/>
      <c r="BU19" s="136"/>
      <c r="BW19" s="162"/>
      <c r="BX19" s="163"/>
      <c r="BY19" s="163"/>
      <c r="BZ19" s="163"/>
      <c r="CA19" s="136"/>
      <c r="CC19" s="162"/>
      <c r="CD19" s="163"/>
      <c r="CE19" s="163"/>
      <c r="CF19" s="163"/>
      <c r="CG19" s="136"/>
      <c r="CI19" s="162"/>
      <c r="CJ19" s="163"/>
      <c r="CK19" s="163"/>
      <c r="CL19" s="163"/>
      <c r="CM19" s="136"/>
      <c r="CO19" s="162"/>
      <c r="CP19" s="163"/>
      <c r="CQ19" s="163"/>
      <c r="CR19" s="163"/>
      <c r="CS19" s="136"/>
    </row>
    <row r="20" spans="1:97">
      <c r="A20" s="6" t="s">
        <v>125</v>
      </c>
      <c r="B20" s="1"/>
      <c r="C20" s="10">
        <f>C11+C18</f>
        <v>-101</v>
      </c>
      <c r="D20" s="10">
        <f>D11+D18</f>
        <v>106</v>
      </c>
      <c r="E20" s="10">
        <f>E11+E18</f>
        <v>-11</v>
      </c>
      <c r="F20" s="10">
        <f>F11+F18</f>
        <v>282</v>
      </c>
      <c r="G20" s="71">
        <f>G11+G18</f>
        <v>276</v>
      </c>
      <c r="H20" s="8"/>
      <c r="I20" s="10">
        <f>I11+I18</f>
        <v>-37</v>
      </c>
      <c r="J20" s="10">
        <f>J11+J18</f>
        <v>-2</v>
      </c>
      <c r="K20" s="10">
        <f>K11+K18</f>
        <v>146</v>
      </c>
      <c r="L20" s="10">
        <f>L11+L18</f>
        <v>284</v>
      </c>
      <c r="M20" s="71">
        <f>M11+M18</f>
        <v>391</v>
      </c>
      <c r="N20" s="6"/>
      <c r="O20" s="10">
        <f>O11+O18</f>
        <v>-83</v>
      </c>
      <c r="P20" s="10">
        <f>P11+P18</f>
        <v>-72</v>
      </c>
      <c r="Q20" s="10">
        <f>Q11+Q18</f>
        <v>70</v>
      </c>
      <c r="R20" s="10">
        <f>R11+R18</f>
        <v>170</v>
      </c>
      <c r="S20" s="71">
        <f>S11+S18</f>
        <v>85</v>
      </c>
      <c r="T20" s="6"/>
      <c r="U20" s="10">
        <f>U11+U18</f>
        <v>-188</v>
      </c>
      <c r="V20" s="10">
        <f>V11+V18</f>
        <v>-945</v>
      </c>
      <c r="W20" s="10">
        <f>W11+W18</f>
        <v>301</v>
      </c>
      <c r="X20" s="10">
        <f>X11+X18</f>
        <v>278</v>
      </c>
      <c r="Y20" s="71">
        <f>Y11+Y18</f>
        <v>-554</v>
      </c>
      <c r="Z20" s="6"/>
      <c r="AA20" s="10">
        <f>AA11+AA18</f>
        <v>-240</v>
      </c>
      <c r="AB20" s="10">
        <f>AB11+AB18</f>
        <v>-921</v>
      </c>
      <c r="AC20" s="10">
        <f>AC11+AC18</f>
        <v>320</v>
      </c>
      <c r="AD20" s="10">
        <f>AD11+AD18</f>
        <v>291</v>
      </c>
      <c r="AE20" s="71">
        <f>AE11+AE18</f>
        <v>-550</v>
      </c>
      <c r="AF20" s="6"/>
      <c r="AG20" s="10">
        <f>AG11+AG18</f>
        <v>-164</v>
      </c>
      <c r="AH20" s="10">
        <f>AH11+AH18</f>
        <v>-7</v>
      </c>
      <c r="AI20" s="10">
        <f>AI11+AI18</f>
        <v>-15</v>
      </c>
      <c r="AJ20" s="10">
        <f>AJ11+AJ18</f>
        <v>110</v>
      </c>
      <c r="AK20" s="71">
        <f>AK11+AK18</f>
        <v>-76</v>
      </c>
      <c r="AL20" s="6"/>
      <c r="AM20" s="10">
        <f>AM11+AM18</f>
        <v>-331</v>
      </c>
      <c r="AN20" s="10">
        <f>AN11+AN18</f>
        <v>234</v>
      </c>
      <c r="AO20" s="10">
        <f>AO11+AO18</f>
        <v>56</v>
      </c>
      <c r="AP20" s="10">
        <f>AP11+AP18</f>
        <v>111</v>
      </c>
      <c r="AQ20" s="71">
        <f>AQ11+AQ18</f>
        <v>70</v>
      </c>
      <c r="AR20" s="6"/>
      <c r="AS20" s="10">
        <f>AS11+AS18</f>
        <v>-979</v>
      </c>
      <c r="AT20" s="10">
        <f>AT11+AT18</f>
        <v>-99</v>
      </c>
      <c r="AU20" s="10">
        <f>AU11+AU18</f>
        <v>17</v>
      </c>
      <c r="AV20" s="10">
        <f>AV11+AV18</f>
        <v>328</v>
      </c>
      <c r="AW20" s="71">
        <f>AW11+AW18</f>
        <v>-733</v>
      </c>
      <c r="AX20" s="6"/>
      <c r="AY20" s="10">
        <f>AY11+AY18</f>
        <v>-185</v>
      </c>
      <c r="AZ20" s="10">
        <f>AZ11+AZ18</f>
        <v>-307</v>
      </c>
      <c r="BA20" s="10">
        <f>BA11+BA18</f>
        <v>-30</v>
      </c>
      <c r="BB20" s="37">
        <f>BB11+BB18</f>
        <v>509</v>
      </c>
      <c r="BC20" s="71">
        <f>BC11+BC18</f>
        <v>-13</v>
      </c>
      <c r="BD20" s="6"/>
      <c r="BE20" s="10">
        <f>BE11+BE18</f>
        <v>-37.699999999999989</v>
      </c>
      <c r="BF20" s="10">
        <f>BF11+BF18</f>
        <v>-275</v>
      </c>
      <c r="BG20" s="37">
        <f>BG11+BG18</f>
        <v>-80</v>
      </c>
      <c r="BH20" s="37">
        <f>BH11+BH18</f>
        <v>-53</v>
      </c>
      <c r="BI20" s="71">
        <f>BI11+BI18</f>
        <v>-445.70000000000005</v>
      </c>
      <c r="BK20" s="10">
        <f>BK11+BK18</f>
        <v>-542</v>
      </c>
      <c r="BL20" s="37">
        <f>BL11+BL18</f>
        <v>-400</v>
      </c>
      <c r="BM20" s="37">
        <f>BM11+BM18</f>
        <v>-313</v>
      </c>
      <c r="BN20" s="37">
        <f>BN11+BN18</f>
        <v>32</v>
      </c>
      <c r="BO20" s="71">
        <f>BO11+BO18</f>
        <v>-1223</v>
      </c>
      <c r="BQ20" s="10">
        <f>BQ11+BQ18</f>
        <v>-685</v>
      </c>
      <c r="BR20" s="37">
        <f>BR11+BR18</f>
        <v>-116</v>
      </c>
      <c r="BS20" s="37">
        <f>BS11+BS18</f>
        <v>204</v>
      </c>
      <c r="BT20" s="37">
        <f>BT11+BT18</f>
        <v>348</v>
      </c>
      <c r="BU20" s="71">
        <f>BU11+BU18</f>
        <v>-249</v>
      </c>
      <c r="BW20" s="10">
        <f>BW11+BW18</f>
        <v>-107</v>
      </c>
      <c r="BX20" s="37">
        <f>BX11+BX18</f>
        <v>-53</v>
      </c>
      <c r="BY20" s="37">
        <f>BY11+BY18</f>
        <v>-87</v>
      </c>
      <c r="BZ20" s="37">
        <f>BZ11+BZ18</f>
        <v>837</v>
      </c>
      <c r="CA20" s="71">
        <f>CA11+CA18</f>
        <v>590</v>
      </c>
      <c r="CC20" s="10">
        <f>CC11+CC18</f>
        <v>-634</v>
      </c>
      <c r="CD20" s="10">
        <f>CD11+CD18</f>
        <v>-122</v>
      </c>
      <c r="CE20" s="10">
        <f>CE11+CE18</f>
        <v>30</v>
      </c>
      <c r="CF20" s="10">
        <f>CF11+CF18</f>
        <v>577</v>
      </c>
      <c r="CG20" s="71">
        <f>CG11+CG18</f>
        <v>-149</v>
      </c>
      <c r="CI20" s="10">
        <f>CI11+CI18</f>
        <v>187</v>
      </c>
      <c r="CJ20" s="10">
        <f>CJ11+CJ18</f>
        <v>-1</v>
      </c>
      <c r="CK20" s="10">
        <f>CK11+CK18</f>
        <v>5</v>
      </c>
      <c r="CL20" s="10">
        <f>CL11+CL18</f>
        <v>1016</v>
      </c>
      <c r="CM20" s="71">
        <f>CM11+CM18</f>
        <v>1207</v>
      </c>
      <c r="CO20" s="10">
        <f>CO11+CO18</f>
        <v>2</v>
      </c>
      <c r="CP20" s="10">
        <f>CP11+CP18</f>
        <v>-182</v>
      </c>
      <c r="CQ20" s="10"/>
      <c r="CR20" s="10"/>
      <c r="CS20" s="71">
        <f>CS11+CS18</f>
        <v>-180</v>
      </c>
    </row>
    <row r="21" spans="1:97">
      <c r="C21" s="9"/>
      <c r="D21" s="9"/>
      <c r="E21" s="9"/>
      <c r="F21" s="9"/>
      <c r="G21" s="71"/>
      <c r="H21" s="8"/>
      <c r="I21" s="9"/>
      <c r="J21" s="9"/>
      <c r="K21" s="9"/>
      <c r="L21" s="9"/>
      <c r="M21" s="71"/>
      <c r="O21" s="9"/>
      <c r="P21" s="9"/>
      <c r="Q21" s="9"/>
      <c r="R21" s="9"/>
      <c r="S21" s="71"/>
      <c r="U21" s="9"/>
      <c r="V21" s="9"/>
      <c r="W21" s="9"/>
      <c r="X21" s="9"/>
      <c r="Y21" s="71"/>
      <c r="AA21" s="9"/>
      <c r="AB21" s="9"/>
      <c r="AC21" s="9"/>
      <c r="AD21" s="9"/>
      <c r="AE21" s="71"/>
      <c r="AG21" s="9"/>
      <c r="AH21" s="9"/>
      <c r="AI21" s="9"/>
      <c r="AJ21" s="9"/>
      <c r="AK21" s="71"/>
      <c r="AM21" s="9"/>
      <c r="AN21" s="9"/>
      <c r="AO21" s="9"/>
      <c r="AP21" s="9"/>
      <c r="AQ21" s="71"/>
      <c r="AS21" s="9"/>
      <c r="AT21" s="9"/>
      <c r="AU21" s="9"/>
      <c r="AV21" s="9"/>
      <c r="AW21" s="71"/>
      <c r="AY21" s="9"/>
      <c r="AZ21" s="9"/>
      <c r="BA21" s="9"/>
      <c r="BB21" s="11"/>
      <c r="BC21" s="71"/>
      <c r="BE21" s="9"/>
      <c r="BF21" s="9"/>
      <c r="BG21" s="11"/>
      <c r="BH21" s="11"/>
      <c r="BI21" s="71"/>
      <c r="BK21" s="9"/>
      <c r="BL21" s="11"/>
      <c r="BM21" s="11"/>
      <c r="BN21" s="11"/>
      <c r="BO21" s="71"/>
      <c r="BQ21" s="9"/>
      <c r="BR21" s="11"/>
      <c r="BS21" s="11"/>
      <c r="BT21" s="11"/>
      <c r="BU21" s="71"/>
      <c r="BW21" s="9"/>
      <c r="BX21" s="11"/>
      <c r="BY21" s="11"/>
      <c r="BZ21" s="11"/>
      <c r="CA21" s="71"/>
      <c r="CC21" s="9"/>
      <c r="CD21" s="11"/>
      <c r="CE21" s="11"/>
      <c r="CF21" s="11"/>
      <c r="CG21" s="71"/>
      <c r="CI21" s="9"/>
      <c r="CJ21" s="11"/>
      <c r="CK21" s="11"/>
      <c r="CL21" s="11"/>
      <c r="CM21" s="71"/>
      <c r="CO21" s="9"/>
      <c r="CP21" s="11"/>
      <c r="CQ21" s="11"/>
      <c r="CR21" s="11"/>
      <c r="CS21" s="71"/>
    </row>
    <row r="22" spans="1:97" ht="12.75" customHeight="1">
      <c r="A22" s="2" t="s">
        <v>31</v>
      </c>
      <c r="C22" s="9">
        <v>0</v>
      </c>
      <c r="D22" s="9">
        <v>-2806</v>
      </c>
      <c r="E22" s="9">
        <v>0</v>
      </c>
      <c r="F22" s="9">
        <v>0</v>
      </c>
      <c r="G22" s="71">
        <f>SUM(C22:F22)</f>
        <v>-2806</v>
      </c>
      <c r="H22" s="8"/>
      <c r="I22" s="9">
        <v>0</v>
      </c>
      <c r="J22" s="9">
        <v>-100</v>
      </c>
      <c r="K22" s="9">
        <v>0</v>
      </c>
      <c r="L22" s="9">
        <v>0</v>
      </c>
      <c r="M22" s="71">
        <f>SUM(I22:L22)</f>
        <v>-100</v>
      </c>
      <c r="O22" s="9">
        <v>0</v>
      </c>
      <c r="P22" s="9">
        <v>-100</v>
      </c>
      <c r="Q22" s="9">
        <v>0</v>
      </c>
      <c r="R22" s="9">
        <v>0</v>
      </c>
      <c r="S22" s="71">
        <f>SUM(O22:R22)</f>
        <v>-100</v>
      </c>
      <c r="U22" s="9">
        <v>0</v>
      </c>
      <c r="V22" s="9">
        <v>-200</v>
      </c>
      <c r="W22" s="9">
        <v>0</v>
      </c>
      <c r="X22" s="9">
        <v>0</v>
      </c>
      <c r="Y22" s="71">
        <f>SUM(U22:X22)</f>
        <v>-200</v>
      </c>
      <c r="AA22" s="9">
        <v>0</v>
      </c>
      <c r="AB22" s="9">
        <v>-200</v>
      </c>
      <c r="AC22" s="9">
        <v>0</v>
      </c>
      <c r="AD22" s="9">
        <v>0</v>
      </c>
      <c r="AE22" s="71">
        <f>SUM(AA22:AD22)</f>
        <v>-200</v>
      </c>
      <c r="AG22" s="9">
        <v>0</v>
      </c>
      <c r="AH22" s="9">
        <v>-196</v>
      </c>
      <c r="AI22" s="9">
        <v>0</v>
      </c>
      <c r="AJ22" s="9">
        <v>0</v>
      </c>
      <c r="AK22" s="71">
        <f>SUM(AG22:AJ22)</f>
        <v>-196</v>
      </c>
      <c r="AM22" s="9"/>
      <c r="AN22" s="9">
        <v>-294</v>
      </c>
      <c r="AO22" s="9">
        <v>0</v>
      </c>
      <c r="AP22" s="9">
        <v>0</v>
      </c>
      <c r="AQ22" s="71">
        <f>SUM(AM22:AP22)</f>
        <v>-294</v>
      </c>
      <c r="AS22" s="13">
        <v>0</v>
      </c>
      <c r="AT22" s="13">
        <v>-236</v>
      </c>
      <c r="AU22" s="13">
        <v>0</v>
      </c>
      <c r="AV22" s="13">
        <v>0</v>
      </c>
      <c r="AW22" s="79">
        <f>SUM(AS22:AV22)</f>
        <v>-236</v>
      </c>
      <c r="AX22" s="33"/>
      <c r="AY22" s="13">
        <v>0</v>
      </c>
      <c r="AZ22" s="13">
        <v>-260</v>
      </c>
      <c r="BA22" s="13">
        <v>0</v>
      </c>
      <c r="BB22" s="38">
        <v>0</v>
      </c>
      <c r="BC22" s="79">
        <f>SUM(AY22:BB22)</f>
        <v>-260</v>
      </c>
      <c r="BE22" s="9">
        <v>0</v>
      </c>
      <c r="BF22" s="27">
        <v>0</v>
      </c>
      <c r="BG22" s="11">
        <v>0</v>
      </c>
      <c r="BH22" s="11">
        <v>0</v>
      </c>
      <c r="BI22" s="71">
        <f>SUM(BE22:BH22)</f>
        <v>0</v>
      </c>
      <c r="BK22" s="9">
        <v>-83</v>
      </c>
      <c r="BL22" s="11"/>
      <c r="BM22" s="11"/>
      <c r="BN22" s="11">
        <v>0</v>
      </c>
      <c r="BO22" s="71">
        <f>SUM(BK22:BN22)</f>
        <v>-83</v>
      </c>
      <c r="BQ22" s="9">
        <v>-47</v>
      </c>
      <c r="BR22" s="11">
        <v>0</v>
      </c>
      <c r="BS22" s="11">
        <v>0</v>
      </c>
      <c r="BT22" s="11">
        <v>0</v>
      </c>
      <c r="BU22" s="71">
        <f>SUM(BQ22:BT22)</f>
        <v>-47</v>
      </c>
      <c r="BW22" s="9">
        <v>0</v>
      </c>
      <c r="BX22" s="11">
        <v>-48</v>
      </c>
      <c r="BY22" s="11">
        <v>0</v>
      </c>
      <c r="BZ22" s="11">
        <v>0</v>
      </c>
      <c r="CA22" s="71">
        <f>SUM(BW22:BZ22)</f>
        <v>-48</v>
      </c>
      <c r="CC22" s="9">
        <v>-191</v>
      </c>
      <c r="CD22" s="11">
        <v>0</v>
      </c>
      <c r="CE22" s="11">
        <v>0</v>
      </c>
      <c r="CF22" s="11">
        <v>0</v>
      </c>
      <c r="CG22" s="71">
        <f>SUM(CC22:CF22)</f>
        <v>-191</v>
      </c>
      <c r="CI22" s="9">
        <v>-84</v>
      </c>
      <c r="CJ22" s="11">
        <v>0</v>
      </c>
      <c r="CK22" s="11">
        <v>0</v>
      </c>
      <c r="CL22" s="11">
        <v>0</v>
      </c>
      <c r="CM22" s="71">
        <f>SUM(CI22:CL22)</f>
        <v>-84</v>
      </c>
      <c r="CO22" s="9">
        <v>-97</v>
      </c>
      <c r="CP22" s="11"/>
      <c r="CQ22" s="11"/>
      <c r="CR22" s="11"/>
      <c r="CS22" s="71">
        <f>SUM(CO22:CR22)</f>
        <v>-97</v>
      </c>
    </row>
    <row r="23" spans="1:97" ht="12.75" customHeight="1">
      <c r="A23" s="2" t="s">
        <v>145</v>
      </c>
      <c r="C23" s="9"/>
      <c r="D23" s="9"/>
      <c r="E23" s="9"/>
      <c r="F23" s="9"/>
      <c r="G23" s="71"/>
      <c r="H23" s="8"/>
      <c r="I23" s="9"/>
      <c r="J23" s="9"/>
      <c r="K23" s="9"/>
      <c r="L23" s="9"/>
      <c r="M23" s="71"/>
      <c r="O23" s="9"/>
      <c r="P23" s="9"/>
      <c r="Q23" s="9"/>
      <c r="R23" s="9"/>
      <c r="S23" s="71"/>
      <c r="U23" s="9"/>
      <c r="V23" s="9"/>
      <c r="W23" s="9"/>
      <c r="X23" s="9"/>
      <c r="Y23" s="71"/>
      <c r="AA23" s="9"/>
      <c r="AB23" s="9"/>
      <c r="AC23" s="9"/>
      <c r="AD23" s="9"/>
      <c r="AE23" s="71"/>
      <c r="AG23" s="9"/>
      <c r="AH23" s="9"/>
      <c r="AI23" s="9"/>
      <c r="AJ23" s="9"/>
      <c r="AK23" s="71"/>
      <c r="AM23" s="9"/>
      <c r="AN23" s="9"/>
      <c r="AO23" s="9"/>
      <c r="AP23" s="9"/>
      <c r="AQ23" s="71"/>
      <c r="AS23" s="13"/>
      <c r="AT23" s="13"/>
      <c r="AU23" s="13"/>
      <c r="AV23" s="13"/>
      <c r="AW23" s="79"/>
      <c r="AX23" s="33"/>
      <c r="AY23" s="13"/>
      <c r="AZ23" s="13"/>
      <c r="BA23" s="13"/>
      <c r="BB23" s="38"/>
      <c r="BC23" s="79"/>
      <c r="BE23" s="9"/>
      <c r="BF23" s="27"/>
      <c r="BG23" s="11"/>
      <c r="BH23" s="11"/>
      <c r="BI23" s="71"/>
      <c r="BK23" s="9">
        <v>-4</v>
      </c>
      <c r="BL23" s="11"/>
      <c r="BM23" s="11">
        <v>-20</v>
      </c>
      <c r="BN23" s="11">
        <v>0</v>
      </c>
      <c r="BO23" s="71">
        <f>SUM(BK23:BN23)</f>
        <v>-24</v>
      </c>
      <c r="BQ23" s="9">
        <v>0</v>
      </c>
      <c r="BR23" s="11">
        <v>0</v>
      </c>
      <c r="BS23" s="11">
        <v>0</v>
      </c>
      <c r="BT23" s="11">
        <v>-1</v>
      </c>
      <c r="BU23" s="71">
        <f>SUM(BQ23:BT23)</f>
        <v>-1</v>
      </c>
      <c r="BW23" s="9">
        <v>-1</v>
      </c>
      <c r="BX23" s="11">
        <v>-1</v>
      </c>
      <c r="BY23" s="11">
        <v>0</v>
      </c>
      <c r="BZ23" s="11">
        <v>0</v>
      </c>
      <c r="CA23" s="71">
        <f>SUM(BW23:BZ23)</f>
        <v>-2</v>
      </c>
      <c r="CC23" s="9">
        <v>0</v>
      </c>
      <c r="CD23" s="11"/>
      <c r="CE23" s="11">
        <v>0</v>
      </c>
      <c r="CF23" s="11">
        <v>0</v>
      </c>
      <c r="CG23" s="71">
        <f>SUM(CC23:CF23)</f>
        <v>0</v>
      </c>
      <c r="CI23" s="9"/>
      <c r="CJ23" s="11"/>
      <c r="CK23" s="11">
        <v>-1</v>
      </c>
      <c r="CL23" s="11"/>
      <c r="CM23" s="71">
        <f>SUM(CI23:CL23)</f>
        <v>-1</v>
      </c>
      <c r="CO23" s="9"/>
      <c r="CP23" s="11"/>
      <c r="CQ23" s="11"/>
      <c r="CR23" s="11"/>
      <c r="CS23" s="71">
        <f>SUM(CO23:CR23)</f>
        <v>0</v>
      </c>
    </row>
    <row r="24" spans="1:97" s="6" customFormat="1" ht="12.75" customHeight="1">
      <c r="A24" s="2" t="s">
        <v>32</v>
      </c>
      <c r="B24" s="3"/>
      <c r="C24" s="13">
        <v>-368</v>
      </c>
      <c r="D24" s="13">
        <v>250</v>
      </c>
      <c r="E24" s="13">
        <v>0</v>
      </c>
      <c r="F24" s="13">
        <v>-5</v>
      </c>
      <c r="G24" s="79">
        <f>SUM(C24:F24)</f>
        <v>-123</v>
      </c>
      <c r="H24" s="8"/>
      <c r="I24" s="13">
        <v>-24</v>
      </c>
      <c r="J24" s="13">
        <v>0</v>
      </c>
      <c r="K24" s="13">
        <v>0</v>
      </c>
      <c r="L24" s="13">
        <v>0</v>
      </c>
      <c r="M24" s="79">
        <f>SUM(I24:L24)</f>
        <v>-24</v>
      </c>
      <c r="N24" s="2"/>
      <c r="O24" s="13">
        <v>-20</v>
      </c>
      <c r="P24" s="13">
        <v>2</v>
      </c>
      <c r="Q24" s="13">
        <v>0</v>
      </c>
      <c r="R24" s="13">
        <v>0</v>
      </c>
      <c r="S24" s="79">
        <f>SUM(O24:R24)</f>
        <v>-18</v>
      </c>
      <c r="T24" s="2"/>
      <c r="U24" s="13">
        <v>0</v>
      </c>
      <c r="V24" s="13">
        <v>4</v>
      </c>
      <c r="W24" s="13">
        <v>0</v>
      </c>
      <c r="X24" s="13">
        <v>0</v>
      </c>
      <c r="Y24" s="79">
        <f>SUM(U24:X24)</f>
        <v>4</v>
      </c>
      <c r="Z24" s="2"/>
      <c r="AA24" s="13">
        <v>0</v>
      </c>
      <c r="AB24" s="13">
        <v>4</v>
      </c>
      <c r="AC24" s="13">
        <v>0</v>
      </c>
      <c r="AD24" s="13">
        <v>0</v>
      </c>
      <c r="AE24" s="79">
        <f>SUM(AA24:AD24)</f>
        <v>4</v>
      </c>
      <c r="AF24" s="2"/>
      <c r="AG24" s="13">
        <v>-12</v>
      </c>
      <c r="AH24" s="13">
        <v>0</v>
      </c>
      <c r="AI24" s="13">
        <v>-276</v>
      </c>
      <c r="AJ24" s="13">
        <v>-14</v>
      </c>
      <c r="AK24" s="79">
        <f>SUM(AG24:AJ24)</f>
        <v>-302</v>
      </c>
      <c r="AL24" s="2"/>
      <c r="AM24" s="13">
        <v>-64</v>
      </c>
      <c r="AN24" s="13">
        <v>14</v>
      </c>
      <c r="AO24" s="13">
        <v>0</v>
      </c>
      <c r="AP24" s="13">
        <v>0</v>
      </c>
      <c r="AQ24" s="79">
        <f>SUM(AM24:AP24)</f>
        <v>-50</v>
      </c>
      <c r="AR24" s="2"/>
      <c r="AS24" s="13">
        <v>7</v>
      </c>
      <c r="AT24" s="13">
        <v>9</v>
      </c>
      <c r="AU24" s="13">
        <v>-1</v>
      </c>
      <c r="AV24" s="13">
        <v>0</v>
      </c>
      <c r="AW24" s="79">
        <f>SUM(AS24:AV24)</f>
        <v>15</v>
      </c>
      <c r="AX24" s="2"/>
      <c r="AY24" s="13">
        <v>3</v>
      </c>
      <c r="AZ24" s="13">
        <v>10</v>
      </c>
      <c r="BA24" s="13">
        <v>0</v>
      </c>
      <c r="BB24" s="38">
        <v>0</v>
      </c>
      <c r="BC24" s="79">
        <f>SUM(AY24:BB24)</f>
        <v>13</v>
      </c>
      <c r="BD24" s="2"/>
      <c r="BE24" s="13">
        <v>0</v>
      </c>
      <c r="BF24" s="13">
        <v>0</v>
      </c>
      <c r="BG24" s="13">
        <v>0</v>
      </c>
      <c r="BH24" s="38">
        <v>0</v>
      </c>
      <c r="BI24" s="79">
        <f>SUM(BE24:BH24)</f>
        <v>0</v>
      </c>
      <c r="BK24" s="13">
        <v>1</v>
      </c>
      <c r="BL24" s="38">
        <v>3</v>
      </c>
      <c r="BM24" s="13"/>
      <c r="BN24" s="38">
        <v>0</v>
      </c>
      <c r="BO24" s="79">
        <f>SUM(BK24:BN24)</f>
        <v>4</v>
      </c>
      <c r="BQ24" s="13">
        <v>0</v>
      </c>
      <c r="BR24" s="38">
        <v>0</v>
      </c>
      <c r="BS24" s="13">
        <v>0</v>
      </c>
      <c r="BT24" s="38">
        <v>0</v>
      </c>
      <c r="BU24" s="79">
        <f>SUM(BQ24:BT24)</f>
        <v>0</v>
      </c>
      <c r="BW24" s="13">
        <v>22</v>
      </c>
      <c r="BX24" s="38">
        <v>0</v>
      </c>
      <c r="BY24" s="13">
        <v>0</v>
      </c>
      <c r="BZ24" s="38">
        <v>1</v>
      </c>
      <c r="CA24" s="79">
        <f>SUM(BW24:BZ24)</f>
        <v>23</v>
      </c>
      <c r="CC24" s="13">
        <v>7</v>
      </c>
      <c r="CD24" s="38">
        <v>0</v>
      </c>
      <c r="CE24" s="13">
        <v>0</v>
      </c>
      <c r="CF24" s="38">
        <v>0</v>
      </c>
      <c r="CG24" s="79">
        <f>SUM(CC24:CF24)</f>
        <v>7</v>
      </c>
      <c r="CI24" s="13">
        <v>1</v>
      </c>
      <c r="CJ24" s="38"/>
      <c r="CK24" s="13"/>
      <c r="CL24" s="38"/>
      <c r="CM24" s="79">
        <f>SUM(CI24:CL24)</f>
        <v>1</v>
      </c>
      <c r="CO24" s="13">
        <v>85</v>
      </c>
      <c r="CP24" s="38"/>
      <c r="CQ24" s="13"/>
      <c r="CR24" s="38"/>
      <c r="CS24" s="79">
        <f>SUM(CO24:CR24)</f>
        <v>85</v>
      </c>
    </row>
    <row r="25" spans="1:97" s="157" customFormat="1">
      <c r="A25" s="154" t="s">
        <v>33</v>
      </c>
      <c r="B25" s="155"/>
      <c r="C25" s="158">
        <f>SUM(C20:C24)</f>
        <v>-469</v>
      </c>
      <c r="D25" s="158">
        <f>SUM(D20:D24)</f>
        <v>-2450</v>
      </c>
      <c r="E25" s="158">
        <f>SUM(E20:E24)</f>
        <v>-11</v>
      </c>
      <c r="F25" s="158">
        <f>SUM(F20:F24)</f>
        <v>277</v>
      </c>
      <c r="G25" s="159">
        <f>SUM(G20:G24)</f>
        <v>-2653</v>
      </c>
      <c r="H25" s="156"/>
      <c r="I25" s="158">
        <f>SUM(I20:I24)</f>
        <v>-61</v>
      </c>
      <c r="J25" s="158">
        <f>SUM(J20:J24)</f>
        <v>-102</v>
      </c>
      <c r="K25" s="158">
        <f>SUM(K20:K24)</f>
        <v>146</v>
      </c>
      <c r="L25" s="158">
        <f>SUM(L20:L24)</f>
        <v>284</v>
      </c>
      <c r="M25" s="159">
        <f>SUM(M20:M24)</f>
        <v>267</v>
      </c>
      <c r="N25" s="154"/>
      <c r="O25" s="158">
        <f>SUM(O20:O24)</f>
        <v>-103</v>
      </c>
      <c r="P25" s="158">
        <f>SUM(P20:P24)</f>
        <v>-170</v>
      </c>
      <c r="Q25" s="158">
        <f>SUM(Q20:Q24)</f>
        <v>70</v>
      </c>
      <c r="R25" s="158">
        <f>SUM(R20:R24)</f>
        <v>170</v>
      </c>
      <c r="S25" s="159">
        <f>SUM(S20:S24)</f>
        <v>-33</v>
      </c>
      <c r="T25" s="154"/>
      <c r="U25" s="158">
        <f>SUM(U20:U24)</f>
        <v>-188</v>
      </c>
      <c r="V25" s="158">
        <f>SUM(V20:V24)</f>
        <v>-1141</v>
      </c>
      <c r="W25" s="158">
        <f>SUM(W20:W24)</f>
        <v>301</v>
      </c>
      <c r="X25" s="158">
        <f>SUM(X20:X24)</f>
        <v>278</v>
      </c>
      <c r="Y25" s="159">
        <f>SUM(Y20:Y24)</f>
        <v>-750</v>
      </c>
      <c r="Z25" s="154"/>
      <c r="AA25" s="158">
        <f>SUM(AA20:AA24)</f>
        <v>-240</v>
      </c>
      <c r="AB25" s="158">
        <f>SUM(AB20:AB24)</f>
        <v>-1117</v>
      </c>
      <c r="AC25" s="158">
        <f>SUM(AC20:AC24)</f>
        <v>320</v>
      </c>
      <c r="AD25" s="158">
        <f>SUM(AD20:AD24)</f>
        <v>291</v>
      </c>
      <c r="AE25" s="159">
        <f>SUM(AE20:AE24)</f>
        <v>-746</v>
      </c>
      <c r="AF25" s="154"/>
      <c r="AG25" s="158">
        <f>SUM(AG20:AG24)</f>
        <v>-176</v>
      </c>
      <c r="AH25" s="158">
        <f>SUM(AH20:AH24)</f>
        <v>-203</v>
      </c>
      <c r="AI25" s="158">
        <f>SUM(AI20:AI24)</f>
        <v>-291</v>
      </c>
      <c r="AJ25" s="158">
        <f>SUM(AJ20:AJ24)</f>
        <v>96</v>
      </c>
      <c r="AK25" s="159">
        <f>SUM(AK20:AK24)</f>
        <v>-574</v>
      </c>
      <c r="AL25" s="154"/>
      <c r="AM25" s="158">
        <f>SUM(AM20:AM24)</f>
        <v>-395</v>
      </c>
      <c r="AN25" s="158">
        <f>SUM(AN20:AN24)</f>
        <v>-46</v>
      </c>
      <c r="AO25" s="158">
        <f>SUM(AO20:AO24)</f>
        <v>56</v>
      </c>
      <c r="AP25" s="158">
        <f>SUM(AP20:AP24)</f>
        <v>111</v>
      </c>
      <c r="AQ25" s="159">
        <f>SUM(AQ20:AQ24)</f>
        <v>-274</v>
      </c>
      <c r="AR25" s="154"/>
      <c r="AS25" s="158">
        <f>SUM(AS20:AS24)</f>
        <v>-972</v>
      </c>
      <c r="AT25" s="158">
        <f>SUM(AT20:AT24)</f>
        <v>-326</v>
      </c>
      <c r="AU25" s="158">
        <f>SUM(AU20:AU24)</f>
        <v>16</v>
      </c>
      <c r="AV25" s="158">
        <f>SUM(AV20:AV24)</f>
        <v>328</v>
      </c>
      <c r="AW25" s="159">
        <f>SUM(AW20:AW24)</f>
        <v>-954</v>
      </c>
      <c r="AX25" s="154"/>
      <c r="AY25" s="158">
        <f>SUM(AY20:AY24)</f>
        <v>-182</v>
      </c>
      <c r="AZ25" s="158">
        <f>SUM(AZ20:AZ24)</f>
        <v>-557</v>
      </c>
      <c r="BA25" s="158">
        <f>SUM(BA20:BA24)</f>
        <v>-30</v>
      </c>
      <c r="BB25" s="156">
        <f>SUM(BB20:BB24)</f>
        <v>509</v>
      </c>
      <c r="BC25" s="159">
        <f>SUM(BC20:BC24)</f>
        <v>-260</v>
      </c>
      <c r="BD25" s="154"/>
      <c r="BE25" s="158">
        <f>SUM(BE20:BE24)</f>
        <v>-37.699999999999989</v>
      </c>
      <c r="BF25" s="158">
        <f>SUM(BF20:BF24)</f>
        <v>-275</v>
      </c>
      <c r="BG25" s="156">
        <f>SUM(BG20:BG24)</f>
        <v>-80</v>
      </c>
      <c r="BH25" s="156">
        <f>SUM(BH20:BH24)</f>
        <v>-53</v>
      </c>
      <c r="BI25" s="159">
        <f>SUM(BI20:BI24)</f>
        <v>-445.70000000000005</v>
      </c>
      <c r="BK25" s="158">
        <f>SUM(BK20:BK24)</f>
        <v>-628</v>
      </c>
      <c r="BL25" s="156">
        <f>SUM(BL20:BL24)</f>
        <v>-397</v>
      </c>
      <c r="BM25" s="156">
        <f>SUM(BM20:BM24)</f>
        <v>-333</v>
      </c>
      <c r="BN25" s="156">
        <f>SUM(BN20:BN24)</f>
        <v>32</v>
      </c>
      <c r="BO25" s="159">
        <f>SUM(BO20:BO24)</f>
        <v>-1326</v>
      </c>
      <c r="BQ25" s="158">
        <f>SUM(BQ20:BQ24)</f>
        <v>-732</v>
      </c>
      <c r="BR25" s="156">
        <f>SUM(BR20:BR24)</f>
        <v>-116</v>
      </c>
      <c r="BS25" s="156">
        <f>SUM(BS20:BS24)</f>
        <v>204</v>
      </c>
      <c r="BT25" s="156">
        <f>SUM(BT20:BT24)</f>
        <v>347</v>
      </c>
      <c r="BU25" s="159">
        <f>SUM(BU20:BU24)</f>
        <v>-297</v>
      </c>
      <c r="BW25" s="158">
        <f>SUM(BW20:BW24)</f>
        <v>-86</v>
      </c>
      <c r="BX25" s="156">
        <f>SUM(BX20:BX24)</f>
        <v>-102</v>
      </c>
      <c r="BY25" s="156">
        <f>SUM(BY20:BY24)</f>
        <v>-87</v>
      </c>
      <c r="BZ25" s="156">
        <f>SUM(BZ20:BZ24)</f>
        <v>838</v>
      </c>
      <c r="CA25" s="159">
        <f>SUM(CA20:CA24)</f>
        <v>563</v>
      </c>
      <c r="CC25" s="158">
        <f>SUM(CC20:CC24)</f>
        <v>-818</v>
      </c>
      <c r="CD25" s="158">
        <f>SUM(CD20:CD24)</f>
        <v>-122</v>
      </c>
      <c r="CE25" s="158">
        <f>SUM(CE20:CE24)</f>
        <v>30</v>
      </c>
      <c r="CF25" s="158">
        <f>SUM(CF20:CF24)</f>
        <v>577</v>
      </c>
      <c r="CG25" s="159">
        <f>SUM(CG20:CG24)</f>
        <v>-333</v>
      </c>
      <c r="CI25" s="158">
        <f>SUM(CI20:CI24)</f>
        <v>104</v>
      </c>
      <c r="CJ25" s="158">
        <f>SUM(CJ20:CJ24)</f>
        <v>-1</v>
      </c>
      <c r="CK25" s="158">
        <f>SUM(CK20:CK24)</f>
        <v>4</v>
      </c>
      <c r="CL25" s="158">
        <f>SUM(CL20:CL24)</f>
        <v>1016</v>
      </c>
      <c r="CM25" s="159">
        <f>SUM(CM20:CM24)</f>
        <v>1123</v>
      </c>
      <c r="CO25" s="158">
        <f>SUM(CO20:CO24)</f>
        <v>-10</v>
      </c>
      <c r="CP25" s="158">
        <f>SUM(CP20:CP24)</f>
        <v>-182</v>
      </c>
      <c r="CQ25" s="158"/>
      <c r="CR25" s="158"/>
      <c r="CS25" s="159">
        <f>SUM(CS20:CS24)</f>
        <v>-192</v>
      </c>
    </row>
    <row r="26" spans="1:97" s="160" customFormat="1">
      <c r="B26" s="161"/>
      <c r="C26" s="162"/>
      <c r="D26" s="162"/>
      <c r="E26" s="162"/>
      <c r="F26" s="162"/>
      <c r="G26" s="136"/>
      <c r="H26" s="39"/>
      <c r="I26" s="162"/>
      <c r="J26" s="162"/>
      <c r="K26" s="162"/>
      <c r="L26" s="162"/>
      <c r="M26" s="136"/>
      <c r="O26" s="162"/>
      <c r="P26" s="162"/>
      <c r="Q26" s="162"/>
      <c r="R26" s="162"/>
      <c r="S26" s="136"/>
      <c r="U26" s="162"/>
      <c r="V26" s="162"/>
      <c r="W26" s="162"/>
      <c r="X26" s="162"/>
      <c r="Y26" s="136"/>
      <c r="AA26" s="162"/>
      <c r="AB26" s="162"/>
      <c r="AC26" s="162"/>
      <c r="AD26" s="162"/>
      <c r="AE26" s="136"/>
      <c r="AG26" s="162"/>
      <c r="AH26" s="162"/>
      <c r="AI26" s="162"/>
      <c r="AJ26" s="162"/>
      <c r="AK26" s="136"/>
      <c r="AM26" s="162"/>
      <c r="AN26" s="162"/>
      <c r="AO26" s="162"/>
      <c r="AP26" s="162"/>
      <c r="AQ26" s="136"/>
      <c r="AS26" s="162"/>
      <c r="AT26" s="162"/>
      <c r="AU26" s="162"/>
      <c r="AV26" s="162"/>
      <c r="AW26" s="136"/>
      <c r="AY26" s="162"/>
      <c r="AZ26" s="162"/>
      <c r="BA26" s="162"/>
      <c r="BB26" s="163"/>
      <c r="BC26" s="136"/>
      <c r="BE26" s="162"/>
      <c r="BF26" s="162"/>
      <c r="BG26" s="163"/>
      <c r="BH26" s="163"/>
      <c r="BI26" s="136"/>
      <c r="BK26" s="162"/>
      <c r="BL26" s="163"/>
      <c r="BM26" s="163"/>
      <c r="BN26" s="163"/>
      <c r="BO26" s="136"/>
      <c r="BQ26" s="162"/>
      <c r="BR26" s="163"/>
      <c r="BS26" s="163"/>
      <c r="BT26" s="163"/>
      <c r="BU26" s="136"/>
      <c r="BW26" s="162"/>
      <c r="BX26" s="163"/>
      <c r="BY26" s="163"/>
      <c r="BZ26" s="163"/>
      <c r="CA26" s="136"/>
      <c r="CC26" s="162"/>
      <c r="CD26" s="163"/>
      <c r="CE26" s="163"/>
      <c r="CF26" s="163"/>
      <c r="CG26" s="136"/>
      <c r="CI26" s="162"/>
      <c r="CJ26" s="163"/>
      <c r="CK26" s="163"/>
      <c r="CL26" s="163"/>
      <c r="CM26" s="136"/>
      <c r="CO26" s="162"/>
      <c r="CP26" s="163"/>
      <c r="CQ26" s="163"/>
      <c r="CR26" s="163"/>
      <c r="CS26" s="136"/>
    </row>
    <row r="27" spans="1:97">
      <c r="A27" s="2" t="s">
        <v>163</v>
      </c>
      <c r="C27" s="9"/>
      <c r="D27" s="9"/>
      <c r="E27" s="9"/>
      <c r="F27" s="9"/>
      <c r="G27" s="71"/>
      <c r="H27" s="8"/>
      <c r="I27" s="9"/>
      <c r="J27" s="9"/>
      <c r="K27" s="9"/>
      <c r="L27" s="9"/>
      <c r="M27" s="71"/>
      <c r="O27" s="9"/>
      <c r="P27" s="9"/>
      <c r="Q27" s="9"/>
      <c r="R27" s="9"/>
      <c r="S27" s="71"/>
      <c r="U27" s="9"/>
      <c r="V27" s="9"/>
      <c r="W27" s="9"/>
      <c r="X27" s="9"/>
      <c r="Y27" s="71"/>
      <c r="AA27" s="9"/>
      <c r="AB27" s="9"/>
      <c r="AC27" s="9"/>
      <c r="AD27" s="9"/>
      <c r="AE27" s="71"/>
      <c r="AG27" s="9"/>
      <c r="AH27" s="9"/>
      <c r="AI27" s="9"/>
      <c r="AJ27" s="9"/>
      <c r="AK27" s="71"/>
      <c r="AM27" s="9"/>
      <c r="AN27" s="9"/>
      <c r="AO27" s="9"/>
      <c r="AP27" s="9"/>
      <c r="AQ27" s="71"/>
      <c r="AS27" s="9"/>
      <c r="AT27" s="9"/>
      <c r="AU27" s="9"/>
      <c r="AV27" s="9"/>
      <c r="AW27" s="71"/>
      <c r="AY27" s="9"/>
      <c r="AZ27" s="9"/>
      <c r="BA27" s="9"/>
      <c r="BB27" s="11"/>
      <c r="BC27" s="71"/>
      <c r="BE27" s="9"/>
      <c r="BF27" s="9"/>
      <c r="BG27" s="11"/>
      <c r="BH27" s="11"/>
      <c r="BI27" s="71"/>
      <c r="BK27" s="9"/>
      <c r="BL27" s="11"/>
      <c r="BM27" s="11"/>
      <c r="BN27" s="11"/>
      <c r="BO27" s="71"/>
      <c r="BQ27" s="9"/>
      <c r="BR27" s="11"/>
      <c r="BS27" s="11"/>
      <c r="BT27" s="11"/>
      <c r="BU27" s="71"/>
      <c r="BW27" s="9">
        <v>0</v>
      </c>
      <c r="BX27" s="11">
        <v>1975</v>
      </c>
      <c r="BY27" s="11">
        <v>0</v>
      </c>
      <c r="BZ27" s="11">
        <v>5</v>
      </c>
      <c r="CA27" s="71">
        <f>SUM(BW27:BZ27)</f>
        <v>1980</v>
      </c>
      <c r="CC27" s="9"/>
      <c r="CD27" s="11"/>
      <c r="CE27" s="11"/>
      <c r="CF27" s="11"/>
      <c r="CG27" s="71">
        <f>SUM(CC27:CF27)</f>
        <v>0</v>
      </c>
      <c r="CI27" s="9"/>
      <c r="CJ27" s="11"/>
      <c r="CK27" s="11"/>
      <c r="CL27" s="11"/>
      <c r="CM27" s="71">
        <f>SUM(CI27:CL27)</f>
        <v>0</v>
      </c>
      <c r="CO27" s="9"/>
      <c r="CP27" s="11"/>
      <c r="CQ27" s="11"/>
      <c r="CR27" s="11"/>
      <c r="CS27" s="71">
        <f>SUM(CO27:CR27)</f>
        <v>0</v>
      </c>
    </row>
    <row r="28" spans="1:97">
      <c r="C28" s="9" t="s">
        <v>63</v>
      </c>
      <c r="D28" s="9"/>
      <c r="E28" s="9"/>
      <c r="F28" s="9"/>
      <c r="G28" s="71"/>
      <c r="H28" s="8"/>
      <c r="I28" s="9"/>
      <c r="J28" s="9"/>
      <c r="K28" s="9"/>
      <c r="L28" s="9"/>
      <c r="M28" s="71"/>
      <c r="O28" s="9"/>
      <c r="P28" s="9"/>
      <c r="Q28" s="9"/>
      <c r="R28" s="9"/>
      <c r="S28" s="71"/>
      <c r="U28" s="9"/>
      <c r="V28" s="9"/>
      <c r="W28" s="9"/>
      <c r="X28" s="9"/>
      <c r="Y28" s="71"/>
      <c r="AA28" s="9"/>
      <c r="AB28" s="9"/>
      <c r="AC28" s="9"/>
      <c r="AD28" s="9"/>
      <c r="AE28" s="71"/>
      <c r="AG28" s="9"/>
      <c r="AH28" s="9"/>
      <c r="AI28" s="9"/>
      <c r="AJ28" s="9"/>
      <c r="AK28" s="71"/>
      <c r="AM28" s="9"/>
      <c r="AN28" s="9"/>
      <c r="AO28" s="9"/>
      <c r="AP28" s="9"/>
      <c r="AQ28" s="71"/>
      <c r="AS28" s="9"/>
      <c r="AT28" s="9"/>
      <c r="AU28" s="9"/>
      <c r="AV28" s="9"/>
      <c r="AW28" s="71"/>
      <c r="AY28" s="9"/>
      <c r="AZ28" s="9"/>
      <c r="BA28" s="9"/>
      <c r="BB28" s="11"/>
      <c r="BC28" s="71"/>
      <c r="BE28" s="9"/>
      <c r="BF28" s="9"/>
      <c r="BG28" s="11"/>
      <c r="BH28" s="11"/>
      <c r="BI28" s="71"/>
      <c r="BK28" s="9"/>
      <c r="BL28" s="11"/>
      <c r="BM28" s="11"/>
      <c r="BN28" s="11"/>
      <c r="BO28" s="71"/>
      <c r="BQ28" s="9"/>
      <c r="BR28" s="11"/>
      <c r="BS28" s="11"/>
      <c r="BT28" s="11"/>
      <c r="BU28" s="71"/>
      <c r="BW28" s="9"/>
      <c r="BX28" s="11"/>
      <c r="BY28" s="11"/>
      <c r="BZ28" s="11"/>
      <c r="CA28" s="71"/>
      <c r="CC28" s="9"/>
      <c r="CD28" s="11"/>
      <c r="CE28" s="11"/>
      <c r="CF28" s="11"/>
      <c r="CG28" s="71"/>
      <c r="CI28" s="9"/>
      <c r="CJ28" s="11"/>
      <c r="CK28" s="11"/>
      <c r="CL28" s="11"/>
      <c r="CM28" s="71"/>
      <c r="CO28" s="9"/>
      <c r="CP28" s="11"/>
      <c r="CQ28" s="11"/>
      <c r="CR28" s="11"/>
      <c r="CS28" s="71"/>
    </row>
    <row r="29" spans="1:97">
      <c r="A29" s="2" t="s">
        <v>162</v>
      </c>
      <c r="C29" s="9">
        <v>2758</v>
      </c>
      <c r="D29" s="9">
        <f>C32</f>
        <v>2277</v>
      </c>
      <c r="E29" s="9">
        <f>D32</f>
        <v>-221</v>
      </c>
      <c r="F29" s="9">
        <f>E32</f>
        <v>-162</v>
      </c>
      <c r="G29" s="71">
        <f>C29</f>
        <v>2758</v>
      </c>
      <c r="H29" s="8"/>
      <c r="I29" s="9">
        <f>F32</f>
        <v>71</v>
      </c>
      <c r="J29" s="9">
        <f>I32</f>
        <v>7</v>
      </c>
      <c r="K29" s="9">
        <f>J32</f>
        <v>-30</v>
      </c>
      <c r="L29" s="9">
        <f>K32</f>
        <v>109</v>
      </c>
      <c r="M29" s="71">
        <f>I29</f>
        <v>71</v>
      </c>
      <c r="O29" s="9">
        <f>L32</f>
        <v>407</v>
      </c>
      <c r="P29" s="9">
        <f>O32</f>
        <v>321</v>
      </c>
      <c r="Q29" s="9">
        <f>P32</f>
        <v>157</v>
      </c>
      <c r="R29" s="9">
        <f>Q32</f>
        <v>236</v>
      </c>
      <c r="S29" s="71">
        <f>O29</f>
        <v>407</v>
      </c>
      <c r="U29" s="9">
        <v>409</v>
      </c>
      <c r="V29" s="9">
        <f>U32</f>
        <v>217</v>
      </c>
      <c r="W29" s="9">
        <f>V32</f>
        <v>-932</v>
      </c>
      <c r="X29" s="9">
        <f>W32</f>
        <v>-638</v>
      </c>
      <c r="Y29" s="71">
        <f>U29</f>
        <v>409</v>
      </c>
      <c r="AA29" s="9">
        <f>S32</f>
        <v>409</v>
      </c>
      <c r="AB29" s="9">
        <f>AA32</f>
        <v>347</v>
      </c>
      <c r="AC29" s="9">
        <f>AB32</f>
        <v>-778</v>
      </c>
      <c r="AD29" s="9">
        <f>AC32</f>
        <v>-465</v>
      </c>
      <c r="AE29" s="71">
        <f>AA29</f>
        <v>409</v>
      </c>
      <c r="AG29" s="9">
        <f>AD32</f>
        <v>-145</v>
      </c>
      <c r="AH29" s="9">
        <f>AG32</f>
        <v>-337</v>
      </c>
      <c r="AI29" s="9">
        <f>AH32</f>
        <v>-559</v>
      </c>
      <c r="AJ29" s="9">
        <f>AI32</f>
        <v>-858</v>
      </c>
      <c r="AK29" s="71">
        <f>AG29</f>
        <v>-145</v>
      </c>
      <c r="AM29" s="9">
        <f>AJ32</f>
        <v>-764</v>
      </c>
      <c r="AN29" s="9">
        <f>AM32</f>
        <v>-1176</v>
      </c>
      <c r="AO29" s="9">
        <f>AN32</f>
        <v>-1221</v>
      </c>
      <c r="AP29" s="9">
        <f>AO32</f>
        <v>-1168</v>
      </c>
      <c r="AQ29" s="71">
        <f>AM29</f>
        <v>-764</v>
      </c>
      <c r="AS29" s="9">
        <f>AP32</f>
        <v>-1023</v>
      </c>
      <c r="AT29" s="9">
        <f>+AS32</f>
        <v>-1987</v>
      </c>
      <c r="AU29" s="9">
        <f>+AT32</f>
        <v>-2319</v>
      </c>
      <c r="AV29" s="9">
        <f>+AU32</f>
        <v>-2306</v>
      </c>
      <c r="AW29" s="71">
        <f>AS29</f>
        <v>-1023</v>
      </c>
      <c r="AY29" s="9">
        <f>+AW32</f>
        <v>-1995</v>
      </c>
      <c r="AZ29" s="9">
        <f>+AY32</f>
        <v>-2215</v>
      </c>
      <c r="BA29" s="9">
        <f>+AZ32</f>
        <v>-2825</v>
      </c>
      <c r="BB29" s="11">
        <f>+BA32</f>
        <v>-2821</v>
      </c>
      <c r="BC29" s="71">
        <f>AY29</f>
        <v>-1995</v>
      </c>
      <c r="BE29" s="9">
        <f>+BC32</f>
        <v>-2260</v>
      </c>
      <c r="BF29" s="9">
        <f>+BE32</f>
        <v>-2282.6999999999998</v>
      </c>
      <c r="BG29" s="11">
        <f>BF32</f>
        <v>-2586.6999999999998</v>
      </c>
      <c r="BH29" s="11">
        <f>BG32</f>
        <v>-2680.7</v>
      </c>
      <c r="BI29" s="71">
        <f>BE29</f>
        <v>-2260</v>
      </c>
      <c r="BK29" s="9">
        <f>+BI32</f>
        <v>-2724.7</v>
      </c>
      <c r="BL29" s="11">
        <f>+BK32</f>
        <v>-3393.7</v>
      </c>
      <c r="BM29" s="11">
        <f>+BL32</f>
        <v>-3789.7</v>
      </c>
      <c r="BN29" s="11">
        <f>+BM32</f>
        <v>-4143.7</v>
      </c>
      <c r="BO29" s="71">
        <f>BK29</f>
        <v>-2724.7</v>
      </c>
      <c r="BQ29" s="9">
        <f>+BN32</f>
        <v>-4104.7</v>
      </c>
      <c r="BR29" s="11">
        <f>+BQ32</f>
        <v>-4820.7</v>
      </c>
      <c r="BS29" s="11">
        <f>+BR32</f>
        <v>-4939.7</v>
      </c>
      <c r="BT29" s="11">
        <f>+BS32</f>
        <v>-4770.7</v>
      </c>
      <c r="BU29" s="71">
        <f>BQ29</f>
        <v>-4104.7</v>
      </c>
      <c r="BW29" s="9">
        <f>+BT32</f>
        <v>-4428.7</v>
      </c>
      <c r="BX29" s="11">
        <f>+BW32</f>
        <v>-4490.7</v>
      </c>
      <c r="BY29" s="11">
        <f>+BX32</f>
        <v>-2691.7</v>
      </c>
      <c r="BZ29" s="11">
        <f>+BY32</f>
        <v>-2750.7</v>
      </c>
      <c r="CA29" s="71">
        <f>BW29</f>
        <v>-4428.7</v>
      </c>
      <c r="CC29" s="9">
        <f>+BZ32</f>
        <v>-1908.6999999999998</v>
      </c>
      <c r="CD29" s="11">
        <f>+CC32</f>
        <v>-2775.7</v>
      </c>
      <c r="CE29" s="11">
        <f>+CD32</f>
        <v>-2838.7</v>
      </c>
      <c r="CF29" s="11">
        <f>+CE32</f>
        <v>-2752.7</v>
      </c>
      <c r="CG29" s="71">
        <f>CC29</f>
        <v>-1908.6999999999998</v>
      </c>
      <c r="CI29" s="9">
        <f>+CF32</f>
        <v>-2110.6999999999998</v>
      </c>
      <c r="CJ29" s="11">
        <f>+CI32</f>
        <v>-1998.6999999999998</v>
      </c>
      <c r="CK29" s="11">
        <f>+CJ32</f>
        <v>-2007.6999999999998</v>
      </c>
      <c r="CL29" s="11">
        <f>+CK32</f>
        <v>-2118.6999999999998</v>
      </c>
      <c r="CM29" s="71">
        <f>CI29</f>
        <v>-2110.6999999999998</v>
      </c>
      <c r="CO29" s="9">
        <f>+CL32</f>
        <v>-1134.6999999999998</v>
      </c>
      <c r="CP29" s="11">
        <f>+CO32</f>
        <v>-1321.6999999999998</v>
      </c>
      <c r="CQ29" s="11"/>
      <c r="CR29" s="11"/>
      <c r="CS29" s="71">
        <f>CO29</f>
        <v>-1134.6999999999998</v>
      </c>
    </row>
    <row r="30" spans="1:97">
      <c r="A30" s="2" t="s">
        <v>55</v>
      </c>
      <c r="C30" s="9"/>
      <c r="D30" s="9"/>
      <c r="E30" s="9"/>
      <c r="F30" s="9"/>
      <c r="G30" s="71"/>
      <c r="H30" s="8"/>
      <c r="I30" s="9"/>
      <c r="J30" s="9"/>
      <c r="K30" s="9"/>
      <c r="L30" s="9"/>
      <c r="M30" s="71"/>
      <c r="O30" s="9"/>
      <c r="P30" s="9"/>
      <c r="Q30" s="9"/>
      <c r="R30" s="9"/>
      <c r="S30" s="71"/>
      <c r="U30" s="9"/>
      <c r="V30" s="9"/>
      <c r="W30" s="9"/>
      <c r="X30" s="9"/>
      <c r="Y30" s="71"/>
      <c r="AA30" s="9">
        <v>182</v>
      </c>
      <c r="AB30" s="9"/>
      <c r="AC30" s="9"/>
      <c r="AD30" s="9"/>
      <c r="AE30" s="71">
        <f>SUM(AA30:AD30)</f>
        <v>182</v>
      </c>
      <c r="AG30" s="9"/>
      <c r="AH30" s="9"/>
      <c r="AI30" s="9"/>
      <c r="AJ30" s="9"/>
      <c r="AK30" s="71"/>
      <c r="AM30" s="9"/>
      <c r="AN30" s="9"/>
      <c r="AO30" s="9"/>
      <c r="AP30" s="9"/>
      <c r="AQ30" s="71"/>
      <c r="AS30" s="9"/>
      <c r="AT30" s="9"/>
      <c r="AU30" s="9"/>
      <c r="AV30" s="9"/>
      <c r="AW30" s="71"/>
      <c r="AY30" s="9"/>
      <c r="AZ30" s="9"/>
      <c r="BA30" s="9"/>
      <c r="BB30" s="11"/>
      <c r="BC30" s="71"/>
      <c r="BE30" s="9"/>
      <c r="BF30" s="9"/>
      <c r="BG30" s="11"/>
      <c r="BH30" s="11"/>
      <c r="BI30" s="71"/>
      <c r="BK30" s="9"/>
      <c r="BL30" s="11"/>
      <c r="BM30" s="11"/>
      <c r="BN30" s="11"/>
      <c r="BO30" s="71"/>
      <c r="BQ30" s="9"/>
      <c r="BR30" s="11"/>
      <c r="BS30" s="11"/>
      <c r="BT30" s="11"/>
      <c r="BU30" s="71"/>
      <c r="BW30" s="9"/>
      <c r="BX30" s="11"/>
      <c r="BY30" s="11"/>
      <c r="BZ30" s="11"/>
      <c r="CA30" s="71"/>
      <c r="CC30" s="9"/>
      <c r="CD30" s="11"/>
      <c r="CE30" s="11"/>
      <c r="CF30" s="11"/>
      <c r="CG30" s="71"/>
      <c r="CI30" s="9"/>
      <c r="CJ30" s="11"/>
      <c r="CK30" s="11"/>
      <c r="CL30" s="11"/>
      <c r="CM30" s="71"/>
      <c r="CO30" s="9"/>
      <c r="CP30" s="11"/>
      <c r="CQ30" s="11"/>
      <c r="CR30" s="11"/>
      <c r="CS30" s="71"/>
    </row>
    <row r="31" spans="1:97" s="6" customFormat="1" ht="18.75" customHeight="1">
      <c r="A31" s="2" t="s">
        <v>196</v>
      </c>
      <c r="B31" s="3"/>
      <c r="C31" s="9">
        <v>-12</v>
      </c>
      <c r="D31" s="9">
        <v>-48</v>
      </c>
      <c r="E31" s="9">
        <v>70</v>
      </c>
      <c r="F31" s="9">
        <v>-44</v>
      </c>
      <c r="G31" s="71">
        <f>SUM(C31:F31)</f>
        <v>-34</v>
      </c>
      <c r="H31" s="8"/>
      <c r="I31" s="9">
        <v>-3</v>
      </c>
      <c r="J31" s="9">
        <v>65</v>
      </c>
      <c r="K31" s="9">
        <v>-7</v>
      </c>
      <c r="L31" s="9">
        <v>14</v>
      </c>
      <c r="M31" s="71">
        <f>SUM(I31:L31)</f>
        <v>69</v>
      </c>
      <c r="N31" s="2"/>
      <c r="O31" s="9">
        <v>17</v>
      </c>
      <c r="P31" s="9">
        <v>6</v>
      </c>
      <c r="Q31" s="9">
        <v>9</v>
      </c>
      <c r="R31" s="9">
        <v>3</v>
      </c>
      <c r="S31" s="71">
        <f>SUM(O31:R31)</f>
        <v>35</v>
      </c>
      <c r="T31" s="2"/>
      <c r="U31" s="9">
        <v>-4</v>
      </c>
      <c r="V31" s="9">
        <v>-8</v>
      </c>
      <c r="W31" s="9">
        <v>-7</v>
      </c>
      <c r="X31" s="9">
        <v>27</v>
      </c>
      <c r="Y31" s="71">
        <f>SUM(U31:X31)</f>
        <v>8</v>
      </c>
      <c r="Z31" s="2"/>
      <c r="AA31" s="9">
        <v>-4</v>
      </c>
      <c r="AB31" s="9">
        <v>-8</v>
      </c>
      <c r="AC31" s="9">
        <v>-7</v>
      </c>
      <c r="AD31" s="9">
        <v>29</v>
      </c>
      <c r="AE31" s="71">
        <f>SUM(AA31:AD31)</f>
        <v>10</v>
      </c>
      <c r="AF31" s="2"/>
      <c r="AG31" s="9">
        <v>-16</v>
      </c>
      <c r="AH31" s="9">
        <v>-19</v>
      </c>
      <c r="AI31" s="9">
        <v>-8</v>
      </c>
      <c r="AJ31" s="9">
        <v>-2</v>
      </c>
      <c r="AK31" s="71">
        <f>SUM(AG31:AJ31)</f>
        <v>-45</v>
      </c>
      <c r="AL31" s="2"/>
      <c r="AM31" s="9">
        <v>-17</v>
      </c>
      <c r="AN31" s="9">
        <v>1</v>
      </c>
      <c r="AO31" s="9">
        <v>-3</v>
      </c>
      <c r="AP31" s="9">
        <v>34</v>
      </c>
      <c r="AQ31" s="71">
        <f>SUM(AM31:AP31)</f>
        <v>15</v>
      </c>
      <c r="AR31" s="2"/>
      <c r="AS31" s="9">
        <v>8</v>
      </c>
      <c r="AT31" s="9">
        <v>-6</v>
      </c>
      <c r="AU31" s="9">
        <v>-3</v>
      </c>
      <c r="AV31" s="9">
        <v>-17</v>
      </c>
      <c r="AW31" s="71">
        <f>SUM(AS31:AV31)</f>
        <v>-18</v>
      </c>
      <c r="AX31" s="2"/>
      <c r="AY31" s="9">
        <v>-38</v>
      </c>
      <c r="AZ31" s="9">
        <v>-53</v>
      </c>
      <c r="BA31" s="9">
        <v>34</v>
      </c>
      <c r="BB31" s="11">
        <v>52</v>
      </c>
      <c r="BC31" s="71">
        <f>SUM(AY31:BB31)</f>
        <v>-5</v>
      </c>
      <c r="BD31" s="2"/>
      <c r="BE31" s="9">
        <v>15</v>
      </c>
      <c r="BF31" s="27">
        <v>-29</v>
      </c>
      <c r="BG31" s="11">
        <v>-14</v>
      </c>
      <c r="BH31" s="11">
        <v>9</v>
      </c>
      <c r="BI31" s="71">
        <f>SUM(BE31:BH31)</f>
        <v>-19</v>
      </c>
      <c r="BK31" s="9">
        <v>-41</v>
      </c>
      <c r="BL31" s="11">
        <v>1</v>
      </c>
      <c r="BM31" s="11">
        <v>-21</v>
      </c>
      <c r="BN31" s="11">
        <v>7</v>
      </c>
      <c r="BO31" s="71">
        <f>SUM(BK31:BN31)</f>
        <v>-54</v>
      </c>
      <c r="BQ31" s="9">
        <v>16</v>
      </c>
      <c r="BR31" s="11">
        <v>-3</v>
      </c>
      <c r="BS31" s="11">
        <v>-35</v>
      </c>
      <c r="BT31" s="11">
        <v>-5</v>
      </c>
      <c r="BU31" s="71">
        <f>SUM(BQ31:BT31)</f>
        <v>-27</v>
      </c>
      <c r="BW31" s="9">
        <v>24</v>
      </c>
      <c r="BX31" s="11">
        <v>-74</v>
      </c>
      <c r="BY31" s="11">
        <v>28</v>
      </c>
      <c r="BZ31" s="11">
        <v>-1</v>
      </c>
      <c r="CA31" s="71">
        <f>SUM(BW31:BZ31)</f>
        <v>-23</v>
      </c>
      <c r="CC31" s="9">
        <v>-49</v>
      </c>
      <c r="CD31" s="11">
        <v>59</v>
      </c>
      <c r="CE31" s="11">
        <v>56</v>
      </c>
      <c r="CF31" s="11">
        <v>65</v>
      </c>
      <c r="CG31" s="71">
        <f>SUM(CC31:CF31)</f>
        <v>131</v>
      </c>
      <c r="CI31" s="9">
        <v>8</v>
      </c>
      <c r="CJ31" s="11">
        <v>-8</v>
      </c>
      <c r="CK31" s="11">
        <v>-115</v>
      </c>
      <c r="CL31" s="11">
        <v>-32</v>
      </c>
      <c r="CM31" s="71">
        <f>SUM(CI31:CL31)</f>
        <v>-147</v>
      </c>
      <c r="CO31" s="9">
        <v>-177</v>
      </c>
      <c r="CP31" s="11">
        <v>66</v>
      </c>
      <c r="CQ31" s="11"/>
      <c r="CR31" s="11"/>
      <c r="CS31" s="71">
        <f>SUM(CO31:CR31)</f>
        <v>-111</v>
      </c>
    </row>
    <row r="32" spans="1:97" s="153" customFormat="1" ht="13.5" thickBot="1">
      <c r="A32" s="148" t="s">
        <v>34</v>
      </c>
      <c r="B32" s="149"/>
      <c r="C32" s="150">
        <f>SUM(C25:C31)</f>
        <v>2277</v>
      </c>
      <c r="D32" s="150">
        <f>SUM(D25:D31)</f>
        <v>-221</v>
      </c>
      <c r="E32" s="150">
        <f>SUM(E25:E31)</f>
        <v>-162</v>
      </c>
      <c r="F32" s="150">
        <f>SUM(F25:F31)</f>
        <v>71</v>
      </c>
      <c r="G32" s="151">
        <f>SUM(G25:G31)</f>
        <v>71</v>
      </c>
      <c r="H32" s="152"/>
      <c r="I32" s="150">
        <f>SUM(I25:I31)</f>
        <v>7</v>
      </c>
      <c r="J32" s="150">
        <f>SUM(J25:J31)</f>
        <v>-30</v>
      </c>
      <c r="K32" s="150">
        <f>SUM(K25:K31)</f>
        <v>109</v>
      </c>
      <c r="L32" s="150">
        <f>SUM(L25:L31)</f>
        <v>407</v>
      </c>
      <c r="M32" s="151">
        <f>SUM(M25:M31)</f>
        <v>407</v>
      </c>
      <c r="N32" s="148"/>
      <c r="O32" s="150">
        <f>SUM(O25:O31)</f>
        <v>321</v>
      </c>
      <c r="P32" s="150">
        <f>SUM(P25:P31)</f>
        <v>157</v>
      </c>
      <c r="Q32" s="150">
        <f>SUM(Q25:Q31)</f>
        <v>236</v>
      </c>
      <c r="R32" s="150">
        <f>SUM(R25:R31)</f>
        <v>409</v>
      </c>
      <c r="S32" s="151">
        <f>SUM(S25:S31)</f>
        <v>409</v>
      </c>
      <c r="T32" s="148"/>
      <c r="U32" s="150">
        <f>SUM(U25:U31)</f>
        <v>217</v>
      </c>
      <c r="V32" s="150">
        <f>SUM(V25:V31)</f>
        <v>-932</v>
      </c>
      <c r="W32" s="150">
        <f>SUM(W25:W31)</f>
        <v>-638</v>
      </c>
      <c r="X32" s="150">
        <f>SUM(X25:X31)</f>
        <v>-333</v>
      </c>
      <c r="Y32" s="151">
        <f>SUM(Y25:Y31)</f>
        <v>-333</v>
      </c>
      <c r="Z32" s="148"/>
      <c r="AA32" s="150">
        <f>SUM(AA25:AA31)</f>
        <v>347</v>
      </c>
      <c r="AB32" s="150">
        <f>SUM(AB25:AB31)</f>
        <v>-778</v>
      </c>
      <c r="AC32" s="150">
        <f>SUM(AC25:AC31)</f>
        <v>-465</v>
      </c>
      <c r="AD32" s="150">
        <f>SUM(AD25:AD31)</f>
        <v>-145</v>
      </c>
      <c r="AE32" s="151">
        <f>SUM(AE25:AE31)</f>
        <v>-145</v>
      </c>
      <c r="AF32" s="148"/>
      <c r="AG32" s="150">
        <f>SUM(AG25:AG31)</f>
        <v>-337</v>
      </c>
      <c r="AH32" s="150">
        <f>SUM(AH25:AH31)</f>
        <v>-559</v>
      </c>
      <c r="AI32" s="150">
        <f>SUM(AI25:AI31)</f>
        <v>-858</v>
      </c>
      <c r="AJ32" s="150">
        <f>SUM(AJ25:AJ31)</f>
        <v>-764</v>
      </c>
      <c r="AK32" s="151">
        <f>SUM(AK25:AK31)</f>
        <v>-764</v>
      </c>
      <c r="AL32" s="148"/>
      <c r="AM32" s="150">
        <f>SUM(AM25:AM31)</f>
        <v>-1176</v>
      </c>
      <c r="AN32" s="150">
        <f>SUM(AN25:AN31)</f>
        <v>-1221</v>
      </c>
      <c r="AO32" s="150">
        <f>SUM(AO25:AO31)</f>
        <v>-1168</v>
      </c>
      <c r="AP32" s="150">
        <f>SUM(AP25:AP31)</f>
        <v>-1023</v>
      </c>
      <c r="AQ32" s="151">
        <f>SUM(AQ25:AQ31)</f>
        <v>-1023</v>
      </c>
      <c r="AR32" s="148"/>
      <c r="AS32" s="150">
        <f>SUM(AS25:AS31)</f>
        <v>-1987</v>
      </c>
      <c r="AT32" s="150">
        <f>SUM(AT25:AT31)</f>
        <v>-2319</v>
      </c>
      <c r="AU32" s="150">
        <f>SUM(AU25:AU31)</f>
        <v>-2306</v>
      </c>
      <c r="AV32" s="150">
        <f>SUM(AV25:AV31)</f>
        <v>-1995</v>
      </c>
      <c r="AW32" s="151">
        <f>SUM(AW25:AW31)</f>
        <v>-1995</v>
      </c>
      <c r="AX32" s="148"/>
      <c r="AY32" s="150">
        <f>SUM(AY25:AY31)</f>
        <v>-2215</v>
      </c>
      <c r="AZ32" s="150">
        <f>SUM(AZ25:AZ31)</f>
        <v>-2825</v>
      </c>
      <c r="BA32" s="150">
        <f>SUM(BA25:BA31)</f>
        <v>-2821</v>
      </c>
      <c r="BB32" s="150">
        <f>SUM(BB25:BB31)</f>
        <v>-2260</v>
      </c>
      <c r="BC32" s="151">
        <f>SUM(BC25:BC31)</f>
        <v>-2260</v>
      </c>
      <c r="BD32" s="148"/>
      <c r="BE32" s="150">
        <f>SUM(BE25:BE31)</f>
        <v>-2282.6999999999998</v>
      </c>
      <c r="BF32" s="150">
        <f>SUM(BF25:BF31)</f>
        <v>-2586.6999999999998</v>
      </c>
      <c r="BG32" s="150">
        <f>SUM(BG25:BG31)</f>
        <v>-2680.7</v>
      </c>
      <c r="BH32" s="150">
        <f>SUM(BH25:BH31)</f>
        <v>-2724.7</v>
      </c>
      <c r="BI32" s="151">
        <f>SUM(BI25:BI31)</f>
        <v>-2724.7</v>
      </c>
      <c r="BK32" s="150">
        <f>SUM(BK25:BK31)</f>
        <v>-3393.7</v>
      </c>
      <c r="BL32" s="152">
        <f>SUM(BL25:BL31)</f>
        <v>-3789.7</v>
      </c>
      <c r="BM32" s="150">
        <f>SUM(BM25:BM31)</f>
        <v>-4143.7</v>
      </c>
      <c r="BN32" s="150">
        <f>SUM(BN25:BN31)</f>
        <v>-4104.7</v>
      </c>
      <c r="BO32" s="151">
        <f>SUM(BO25:BO31)</f>
        <v>-4104.7</v>
      </c>
      <c r="BQ32" s="150">
        <f>SUM(BQ25:BQ31)</f>
        <v>-4820.7</v>
      </c>
      <c r="BR32" s="152">
        <f>SUM(BR25:BR31)</f>
        <v>-4939.7</v>
      </c>
      <c r="BS32" s="150">
        <f>SUM(BS25:BS31)</f>
        <v>-4770.7</v>
      </c>
      <c r="BT32" s="150">
        <f>SUM(BT25:BT31)</f>
        <v>-4428.7</v>
      </c>
      <c r="BU32" s="151">
        <f>SUM(BU25:BU31)</f>
        <v>-4428.7</v>
      </c>
      <c r="BW32" s="150">
        <f>SUM(BW25:BW31)</f>
        <v>-4490.7</v>
      </c>
      <c r="BX32" s="152">
        <f>SUM(BX25:BX31)</f>
        <v>-2691.7</v>
      </c>
      <c r="BY32" s="150">
        <f>SUM(BY25:BY31)</f>
        <v>-2750.7</v>
      </c>
      <c r="BZ32" s="150">
        <f>SUM(BZ25:BZ31)</f>
        <v>-1908.6999999999998</v>
      </c>
      <c r="CA32" s="151">
        <f>SUM(CA25:CA31)</f>
        <v>-1908.6999999999998</v>
      </c>
      <c r="CC32" s="150">
        <f>SUM(CC25:CC31)</f>
        <v>-2775.7</v>
      </c>
      <c r="CD32" s="150">
        <f>SUM(CD25:CD31)</f>
        <v>-2838.7</v>
      </c>
      <c r="CE32" s="150">
        <f>SUM(CE25:CE31)</f>
        <v>-2752.7</v>
      </c>
      <c r="CF32" s="150">
        <f>SUM(CF25:CF31)</f>
        <v>-2110.6999999999998</v>
      </c>
      <c r="CG32" s="151">
        <f>SUM(CG25:CG31)</f>
        <v>-2110.6999999999998</v>
      </c>
      <c r="CI32" s="150">
        <f>SUM(CI25:CI31)</f>
        <v>-1998.6999999999998</v>
      </c>
      <c r="CJ32" s="150">
        <f>SUM(CJ25:CJ31)</f>
        <v>-2007.6999999999998</v>
      </c>
      <c r="CK32" s="150">
        <f>SUM(CK25:CK31)</f>
        <v>-2118.6999999999998</v>
      </c>
      <c r="CL32" s="150">
        <f>SUM(CL25:CL31)</f>
        <v>-1134.6999999999998</v>
      </c>
      <c r="CM32" s="151">
        <f>SUM(CM25:CM31)</f>
        <v>-1134.6999999999998</v>
      </c>
      <c r="CO32" s="150">
        <f>SUM(CO25:CO31)</f>
        <v>-1321.6999999999998</v>
      </c>
      <c r="CP32" s="150">
        <f>SUM(CP25:CP31)</f>
        <v>-1437.6999999999998</v>
      </c>
      <c r="CQ32" s="150"/>
      <c r="CR32" s="150"/>
      <c r="CS32" s="151">
        <f>SUM(CS25:CS31)</f>
        <v>-1437.6999999999998</v>
      </c>
    </row>
    <row r="33" spans="2:67" s="138" customFormat="1">
      <c r="B33" s="139"/>
      <c r="G33" s="140"/>
      <c r="H33" s="141"/>
      <c r="M33" s="140"/>
      <c r="S33" s="140"/>
      <c r="Y33" s="140"/>
      <c r="AE33" s="140"/>
      <c r="AK33" s="140"/>
      <c r="AQ33" s="140"/>
      <c r="AW33" s="140"/>
      <c r="BC33" s="140"/>
      <c r="BI33" s="140"/>
      <c r="BL33" s="139"/>
      <c r="BO33" s="140"/>
    </row>
    <row r="35" spans="2:67">
      <c r="V35" s="14"/>
      <c r="W35" s="40"/>
      <c r="X35" s="40"/>
      <c r="AB35" s="14"/>
      <c r="AC35" s="40"/>
      <c r="AD35" s="40"/>
      <c r="AH35" s="14"/>
      <c r="AI35" s="40"/>
      <c r="AJ35" s="40"/>
      <c r="AN35" s="14"/>
      <c r="AO35" s="40"/>
      <c r="AP35" s="40"/>
      <c r="AT35" s="14"/>
      <c r="AU35" s="40"/>
      <c r="AV35" s="40"/>
      <c r="AZ35" s="14"/>
      <c r="BA35" s="40"/>
      <c r="BB35" s="40"/>
      <c r="BF35" s="14"/>
      <c r="BG35" s="40"/>
      <c r="BH35" s="40"/>
      <c r="BI35" s="10"/>
      <c r="BL35" s="14"/>
      <c r="BM35" s="40"/>
      <c r="BN35" s="40"/>
      <c r="BO35" s="10"/>
    </row>
    <row r="36" spans="2:67">
      <c r="V36" s="14"/>
      <c r="W36" s="14"/>
      <c r="X36" s="14"/>
      <c r="AB36" s="14"/>
      <c r="AC36" s="14"/>
      <c r="AD36" s="14"/>
      <c r="AH36" s="14"/>
      <c r="AI36" s="14"/>
      <c r="AJ36" s="14"/>
      <c r="AN36" s="14"/>
      <c r="AO36" s="14"/>
      <c r="AP36" s="14"/>
      <c r="AT36" s="14"/>
      <c r="AU36" s="14"/>
      <c r="AV36" s="14"/>
      <c r="AZ36" s="14"/>
      <c r="BA36" s="14"/>
      <c r="BB36" s="14"/>
      <c r="BF36" s="14"/>
      <c r="BG36" s="14"/>
      <c r="BH36" s="14"/>
      <c r="BL36" s="14"/>
      <c r="BM36" s="14"/>
      <c r="BN36" s="14"/>
    </row>
  </sheetData>
  <mergeCells count="32">
    <mergeCell ref="O3:S3"/>
    <mergeCell ref="U3:Y3"/>
    <mergeCell ref="AM1:AQ1"/>
    <mergeCell ref="U1:Y1"/>
    <mergeCell ref="AS1:AW1"/>
    <mergeCell ref="AS3:AW3"/>
    <mergeCell ref="AA3:AE3"/>
    <mergeCell ref="AA1:AE1"/>
    <mergeCell ref="AY1:BC1"/>
    <mergeCell ref="AY3:BC3"/>
    <mergeCell ref="CI1:CM1"/>
    <mergeCell ref="CI3:CM3"/>
    <mergeCell ref="BW1:CA1"/>
    <mergeCell ref="BW3:CA3"/>
    <mergeCell ref="CC1:CG1"/>
    <mergeCell ref="CC3:CG3"/>
    <mergeCell ref="CO1:CS1"/>
    <mergeCell ref="CO3:CS3"/>
    <mergeCell ref="C3:G3"/>
    <mergeCell ref="I3:M3"/>
    <mergeCell ref="O1:S1"/>
    <mergeCell ref="BQ1:BU1"/>
    <mergeCell ref="BQ3:BU3"/>
    <mergeCell ref="AM3:AQ3"/>
    <mergeCell ref="BK1:BO1"/>
    <mergeCell ref="BK3:BO3"/>
    <mergeCell ref="C1:G1"/>
    <mergeCell ref="I1:M1"/>
    <mergeCell ref="AG1:AK1"/>
    <mergeCell ref="AG3:AK3"/>
    <mergeCell ref="BE1:BI1"/>
    <mergeCell ref="BE3:BI3"/>
  </mergeCells>
  <phoneticPr fontId="0" type="noConversion"/>
  <pageMargins left="0.23622047244094491" right="0.27559055118110237" top="0.62992125984251968" bottom="0.98425196850393704" header="0.51181102362204722" footer="0.51181102362204722"/>
  <pageSetup paperSize="9" scale="80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Q86"/>
  <sheetViews>
    <sheetView showGridLines="0" zoomScaleNormal="100" workbookViewId="0">
      <pane xSplit="1" ySplit="5" topLeftCell="BU29" activePane="bottomRight" state="frozen"/>
      <selection activeCell="C28" sqref="C28"/>
      <selection pane="topRight" activeCell="C28" sqref="C28"/>
      <selection pane="bottomLeft" activeCell="C28" sqref="C28"/>
      <selection pane="bottomRight" activeCell="C28" sqref="C28"/>
    </sheetView>
  </sheetViews>
  <sheetFormatPr defaultColWidth="9.140625" defaultRowHeight="12.75"/>
  <cols>
    <col min="1" max="1" width="32.7109375" style="2" customWidth="1"/>
    <col min="2" max="2" width="4.7109375" style="3" customWidth="1"/>
    <col min="3" max="6" width="8.7109375" style="2" customWidth="1"/>
    <col min="7" max="7" width="8.7109375" style="6" customWidth="1"/>
    <col min="8" max="8" width="4.7109375" style="4" customWidth="1"/>
    <col min="9" max="12" width="8.7109375" style="2" customWidth="1"/>
    <col min="13" max="13" width="8.7109375" style="6" customWidth="1"/>
    <col min="14" max="14" width="4.7109375" style="2" customWidth="1"/>
    <col min="15" max="18" width="8.7109375" style="2" customWidth="1"/>
    <col min="19" max="19" width="8.7109375" style="6" customWidth="1"/>
    <col min="20" max="20" width="4.7109375" style="2" customWidth="1"/>
    <col min="21" max="24" width="8.7109375" style="2" customWidth="1"/>
    <col min="25" max="25" width="8.7109375" style="6" customWidth="1"/>
    <col min="26" max="26" width="4.7109375" style="2" customWidth="1"/>
    <col min="27" max="30" width="8.7109375" style="2" customWidth="1"/>
    <col min="31" max="31" width="8.7109375" style="6" customWidth="1"/>
    <col min="32" max="32" width="4.7109375" style="2" customWidth="1"/>
    <col min="33" max="36" width="8.7109375" style="2" customWidth="1"/>
    <col min="37" max="37" width="8.7109375" style="6" customWidth="1"/>
    <col min="38" max="38" width="4.7109375" style="2" customWidth="1"/>
    <col min="39" max="42" width="8.7109375" style="2" customWidth="1"/>
    <col min="43" max="43" width="8.7109375" style="6" customWidth="1"/>
    <col min="44" max="44" width="4.7109375" style="2" customWidth="1"/>
    <col min="45" max="48" width="8.7109375" style="2" customWidth="1"/>
    <col min="49" max="49" width="8.7109375" style="6" customWidth="1"/>
    <col min="50" max="50" width="4.7109375" style="2" customWidth="1"/>
    <col min="51" max="55" width="8.7109375" style="2" customWidth="1"/>
    <col min="56" max="56" width="4.7109375" style="2" customWidth="1"/>
    <col min="57" max="61" width="8.7109375" style="2" customWidth="1"/>
    <col min="62" max="62" width="4.7109375" style="2" customWidth="1"/>
    <col min="63" max="67" width="8.7109375" style="2" customWidth="1"/>
    <col min="68" max="68" width="4.7109375" style="2" customWidth="1"/>
    <col min="69" max="73" width="8.7109375" style="2" customWidth="1"/>
    <col min="74" max="74" width="4.7109375" style="2" customWidth="1"/>
    <col min="75" max="79" width="8.7109375" style="2" customWidth="1"/>
    <col min="80" max="80" width="4.7109375" style="2" customWidth="1"/>
    <col min="81" max="85" width="8.7109375" style="2" customWidth="1"/>
    <col min="86" max="86" width="4.7109375" style="2" customWidth="1"/>
    <col min="87" max="91" width="8.7109375" style="2" customWidth="1"/>
    <col min="92" max="92" width="4.7109375" style="2" customWidth="1"/>
    <col min="93" max="97" width="8.7109375" style="2" customWidth="1"/>
    <col min="98" max="98" width="4.7109375" style="2" customWidth="1"/>
    <col min="99" max="16384" width="9.140625" style="2"/>
  </cols>
  <sheetData>
    <row r="1" spans="1:251">
      <c r="C1" s="207" t="s">
        <v>126</v>
      </c>
      <c r="D1" s="207"/>
      <c r="E1" s="207"/>
      <c r="F1" s="207"/>
      <c r="G1" s="207"/>
      <c r="I1" s="207" t="s">
        <v>126</v>
      </c>
      <c r="J1" s="207"/>
      <c r="K1" s="207"/>
      <c r="L1" s="207"/>
      <c r="M1" s="207"/>
      <c r="O1" s="207" t="s">
        <v>126</v>
      </c>
      <c r="P1" s="207"/>
      <c r="Q1" s="207"/>
      <c r="R1" s="207"/>
      <c r="S1" s="207"/>
      <c r="U1" s="207" t="s">
        <v>126</v>
      </c>
      <c r="V1" s="207"/>
      <c r="W1" s="207"/>
      <c r="X1" s="207"/>
      <c r="Y1" s="207"/>
      <c r="AA1" s="207" t="s">
        <v>104</v>
      </c>
      <c r="AB1" s="207"/>
      <c r="AC1" s="207"/>
      <c r="AD1" s="207"/>
      <c r="AE1" s="207"/>
      <c r="AG1" s="207" t="s">
        <v>104</v>
      </c>
      <c r="AH1" s="207"/>
      <c r="AI1" s="207"/>
      <c r="AJ1" s="207"/>
      <c r="AK1" s="207"/>
      <c r="AM1" s="207" t="s">
        <v>104</v>
      </c>
      <c r="AN1" s="207"/>
      <c r="AO1" s="207"/>
      <c r="AP1" s="207"/>
      <c r="AQ1" s="207"/>
      <c r="AS1" s="207" t="s">
        <v>104</v>
      </c>
      <c r="AT1" s="207"/>
      <c r="AU1" s="207"/>
      <c r="AV1" s="207"/>
      <c r="AW1" s="207"/>
      <c r="AY1" s="207" t="s">
        <v>104</v>
      </c>
      <c r="AZ1" s="207"/>
      <c r="BA1" s="207"/>
      <c r="BB1" s="207"/>
      <c r="BC1" s="207"/>
      <c r="BE1" s="207" t="s">
        <v>104</v>
      </c>
      <c r="BF1" s="207"/>
      <c r="BG1" s="207"/>
      <c r="BH1" s="207"/>
      <c r="BI1" s="207"/>
      <c r="BK1" s="207" t="s">
        <v>104</v>
      </c>
      <c r="BL1" s="207"/>
      <c r="BM1" s="207"/>
      <c r="BN1" s="207"/>
      <c r="BO1" s="207"/>
      <c r="BQ1" s="207" t="s">
        <v>104</v>
      </c>
      <c r="BR1" s="207"/>
      <c r="BS1" s="207"/>
      <c r="BT1" s="207"/>
      <c r="BU1" s="207"/>
      <c r="BW1" s="207" t="s">
        <v>104</v>
      </c>
      <c r="BX1" s="207"/>
      <c r="BY1" s="207"/>
      <c r="BZ1" s="207"/>
      <c r="CA1" s="207"/>
      <c r="CC1" s="207" t="s">
        <v>104</v>
      </c>
      <c r="CD1" s="207"/>
      <c r="CE1" s="207"/>
      <c r="CF1" s="207"/>
      <c r="CG1" s="207"/>
      <c r="CI1" s="207" t="s">
        <v>104</v>
      </c>
      <c r="CJ1" s="207"/>
      <c r="CK1" s="207"/>
      <c r="CL1" s="207"/>
      <c r="CM1" s="207"/>
      <c r="CO1" s="207" t="s">
        <v>104</v>
      </c>
      <c r="CP1" s="207"/>
      <c r="CQ1" s="207"/>
      <c r="CR1" s="207"/>
      <c r="CS1" s="207"/>
    </row>
    <row r="2" spans="1:251">
      <c r="A2" s="1" t="s">
        <v>40</v>
      </c>
      <c r="B2" s="5"/>
      <c r="C2" s="208">
        <v>2001</v>
      </c>
      <c r="D2" s="208"/>
      <c r="E2" s="208"/>
      <c r="F2" s="208"/>
      <c r="G2" s="208"/>
      <c r="I2" s="208">
        <v>2002</v>
      </c>
      <c r="J2" s="208"/>
      <c r="K2" s="208"/>
      <c r="L2" s="208"/>
      <c r="M2" s="208"/>
      <c r="O2" s="208">
        <v>2003</v>
      </c>
      <c r="P2" s="208"/>
      <c r="Q2" s="208"/>
      <c r="R2" s="208"/>
      <c r="S2" s="208"/>
      <c r="U2" s="208">
        <v>2004</v>
      </c>
      <c r="V2" s="208"/>
      <c r="W2" s="208"/>
      <c r="X2" s="208"/>
      <c r="Y2" s="208"/>
      <c r="AA2" s="208">
        <v>2004</v>
      </c>
      <c r="AB2" s="208"/>
      <c r="AC2" s="208"/>
      <c r="AD2" s="208"/>
      <c r="AE2" s="208"/>
      <c r="AG2" s="208">
        <v>2005</v>
      </c>
      <c r="AH2" s="208"/>
      <c r="AI2" s="208"/>
      <c r="AJ2" s="208"/>
      <c r="AK2" s="208"/>
      <c r="AM2" s="208">
        <v>2006</v>
      </c>
      <c r="AN2" s="208"/>
      <c r="AO2" s="208"/>
      <c r="AP2" s="208"/>
      <c r="AQ2" s="208"/>
      <c r="AS2" s="208">
        <v>2007</v>
      </c>
      <c r="AT2" s="208"/>
      <c r="AU2" s="208"/>
      <c r="AV2" s="208"/>
      <c r="AW2" s="208"/>
      <c r="AY2" s="208">
        <v>2008</v>
      </c>
      <c r="AZ2" s="208"/>
      <c r="BA2" s="208"/>
      <c r="BB2" s="208"/>
      <c r="BC2" s="208"/>
      <c r="BE2" s="208">
        <v>2009</v>
      </c>
      <c r="BF2" s="208"/>
      <c r="BG2" s="208"/>
      <c r="BH2" s="208"/>
      <c r="BI2" s="208"/>
      <c r="BK2" s="208">
        <v>2010</v>
      </c>
      <c r="BL2" s="208"/>
      <c r="BM2" s="208"/>
      <c r="BN2" s="208"/>
      <c r="BO2" s="208"/>
      <c r="BQ2" s="208">
        <v>2011</v>
      </c>
      <c r="BR2" s="208"/>
      <c r="BS2" s="208"/>
      <c r="BT2" s="208"/>
      <c r="BU2" s="208"/>
      <c r="BW2" s="208">
        <v>2012</v>
      </c>
      <c r="BX2" s="208"/>
      <c r="BY2" s="208"/>
      <c r="BZ2" s="208"/>
      <c r="CA2" s="208"/>
      <c r="CC2" s="208">
        <v>2013</v>
      </c>
      <c r="CD2" s="208"/>
      <c r="CE2" s="208"/>
      <c r="CF2" s="208"/>
      <c r="CG2" s="208"/>
      <c r="CI2" s="208">
        <v>2014</v>
      </c>
      <c r="CJ2" s="208"/>
      <c r="CK2" s="208"/>
      <c r="CL2" s="208"/>
      <c r="CM2" s="208"/>
      <c r="CO2" s="208">
        <v>2015</v>
      </c>
      <c r="CP2" s="208"/>
      <c r="CQ2" s="208"/>
      <c r="CR2" s="208"/>
      <c r="CS2" s="208"/>
    </row>
    <row r="3" spans="1:251" s="134" customFormat="1" ht="13.5" thickBot="1">
      <c r="A3" s="130" t="s">
        <v>186</v>
      </c>
      <c r="B3" s="131"/>
      <c r="C3" s="133" t="s">
        <v>10</v>
      </c>
      <c r="D3" s="133" t="s">
        <v>11</v>
      </c>
      <c r="E3" s="133" t="s">
        <v>12</v>
      </c>
      <c r="F3" s="133" t="s">
        <v>13</v>
      </c>
      <c r="G3" s="133" t="s">
        <v>14</v>
      </c>
      <c r="H3" s="132"/>
      <c r="I3" s="133" t="s">
        <v>10</v>
      </c>
      <c r="J3" s="133" t="s">
        <v>11</v>
      </c>
      <c r="K3" s="133" t="s">
        <v>12</v>
      </c>
      <c r="L3" s="133" t="s">
        <v>13</v>
      </c>
      <c r="M3" s="133" t="s">
        <v>14</v>
      </c>
      <c r="O3" s="133" t="s">
        <v>10</v>
      </c>
      <c r="P3" s="133" t="s">
        <v>11</v>
      </c>
      <c r="Q3" s="133" t="s">
        <v>12</v>
      </c>
      <c r="R3" s="133" t="s">
        <v>13</v>
      </c>
      <c r="S3" s="133" t="s">
        <v>14</v>
      </c>
      <c r="U3" s="133" t="s">
        <v>10</v>
      </c>
      <c r="V3" s="133" t="s">
        <v>11</v>
      </c>
      <c r="W3" s="133" t="s">
        <v>12</v>
      </c>
      <c r="X3" s="133" t="s">
        <v>13</v>
      </c>
      <c r="Y3" s="133" t="s">
        <v>14</v>
      </c>
      <c r="AA3" s="133" t="s">
        <v>10</v>
      </c>
      <c r="AB3" s="133" t="s">
        <v>11</v>
      </c>
      <c r="AC3" s="133" t="s">
        <v>12</v>
      </c>
      <c r="AD3" s="133" t="s">
        <v>13</v>
      </c>
      <c r="AE3" s="133" t="s">
        <v>14</v>
      </c>
      <c r="AF3" s="133"/>
      <c r="AG3" s="133" t="s">
        <v>10</v>
      </c>
      <c r="AH3" s="133" t="s">
        <v>11</v>
      </c>
      <c r="AI3" s="133" t="s">
        <v>12</v>
      </c>
      <c r="AJ3" s="133" t="s">
        <v>13</v>
      </c>
      <c r="AK3" s="133" t="s">
        <v>14</v>
      </c>
      <c r="AM3" s="133" t="s">
        <v>10</v>
      </c>
      <c r="AN3" s="133" t="s">
        <v>11</v>
      </c>
      <c r="AO3" s="133" t="s">
        <v>12</v>
      </c>
      <c r="AP3" s="133" t="s">
        <v>13</v>
      </c>
      <c r="AQ3" s="133" t="s">
        <v>14</v>
      </c>
      <c r="AS3" s="133" t="s">
        <v>10</v>
      </c>
      <c r="AT3" s="133" t="s">
        <v>11</v>
      </c>
      <c r="AU3" s="133" t="s">
        <v>12</v>
      </c>
      <c r="AV3" s="133" t="s">
        <v>13</v>
      </c>
      <c r="AW3" s="133" t="s">
        <v>14</v>
      </c>
      <c r="AY3" s="133" t="s">
        <v>10</v>
      </c>
      <c r="AZ3" s="133" t="s">
        <v>11</v>
      </c>
      <c r="BA3" s="133" t="s">
        <v>12</v>
      </c>
      <c r="BB3" s="133" t="s">
        <v>13</v>
      </c>
      <c r="BC3" s="133" t="s">
        <v>14</v>
      </c>
      <c r="BE3" s="133" t="s">
        <v>10</v>
      </c>
      <c r="BF3" s="133" t="s">
        <v>11</v>
      </c>
      <c r="BG3" s="133" t="s">
        <v>12</v>
      </c>
      <c r="BH3" s="133" t="s">
        <v>13</v>
      </c>
      <c r="BI3" s="133" t="s">
        <v>14</v>
      </c>
      <c r="BK3" s="133" t="s">
        <v>10</v>
      </c>
      <c r="BL3" s="133" t="s">
        <v>11</v>
      </c>
      <c r="BM3" s="133" t="s">
        <v>12</v>
      </c>
      <c r="BN3" s="133" t="s">
        <v>13</v>
      </c>
      <c r="BO3" s="133" t="s">
        <v>14</v>
      </c>
      <c r="BQ3" s="133" t="s">
        <v>10</v>
      </c>
      <c r="BR3" s="133" t="s">
        <v>11</v>
      </c>
      <c r="BS3" s="133" t="s">
        <v>12</v>
      </c>
      <c r="BT3" s="133" t="s">
        <v>13</v>
      </c>
      <c r="BU3" s="133" t="s">
        <v>14</v>
      </c>
      <c r="BW3" s="133" t="s">
        <v>10</v>
      </c>
      <c r="BX3" s="133" t="s">
        <v>11</v>
      </c>
      <c r="BY3" s="133" t="s">
        <v>12</v>
      </c>
      <c r="BZ3" s="133" t="s">
        <v>13</v>
      </c>
      <c r="CA3" s="133" t="s">
        <v>14</v>
      </c>
      <c r="CC3" s="133" t="s">
        <v>10</v>
      </c>
      <c r="CD3" s="133" t="s">
        <v>11</v>
      </c>
      <c r="CE3" s="133" t="s">
        <v>12</v>
      </c>
      <c r="CF3" s="133" t="s">
        <v>13</v>
      </c>
      <c r="CG3" s="133" t="s">
        <v>14</v>
      </c>
      <c r="CI3" s="133" t="s">
        <v>10</v>
      </c>
      <c r="CJ3" s="133" t="s">
        <v>11</v>
      </c>
      <c r="CK3" s="133" t="s">
        <v>12</v>
      </c>
      <c r="CL3" s="133" t="s">
        <v>13</v>
      </c>
      <c r="CM3" s="133" t="s">
        <v>14</v>
      </c>
      <c r="CO3" s="133" t="s">
        <v>10</v>
      </c>
      <c r="CP3" s="133" t="s">
        <v>11</v>
      </c>
      <c r="CQ3" s="133" t="s">
        <v>12</v>
      </c>
      <c r="CR3" s="133" t="s">
        <v>13</v>
      </c>
      <c r="CS3" s="133" t="s">
        <v>14</v>
      </c>
    </row>
    <row r="4" spans="1:251" s="165" customFormat="1" ht="13.5" thickTop="1">
      <c r="B4" s="166"/>
      <c r="G4" s="167"/>
      <c r="H4" s="168"/>
      <c r="M4" s="167"/>
      <c r="S4" s="167"/>
      <c r="Y4" s="167"/>
      <c r="AE4" s="167"/>
      <c r="AK4" s="167"/>
      <c r="AQ4" s="167"/>
      <c r="AW4" s="167"/>
      <c r="BC4" s="167"/>
      <c r="BI4" s="167"/>
      <c r="BO4" s="167"/>
      <c r="BU4" s="167"/>
      <c r="CA4" s="167"/>
      <c r="CG4" s="167"/>
      <c r="CM4" s="167"/>
      <c r="CS4" s="167"/>
    </row>
    <row r="5" spans="1:251">
      <c r="A5" s="6" t="s">
        <v>0</v>
      </c>
      <c r="G5" s="69"/>
      <c r="M5" s="69"/>
      <c r="S5" s="69"/>
      <c r="Y5" s="69"/>
      <c r="AE5" s="69"/>
      <c r="AK5" s="69"/>
      <c r="AQ5" s="69"/>
      <c r="AW5" s="69"/>
      <c r="BC5" s="69"/>
      <c r="BI5" s="69"/>
      <c r="BO5" s="69"/>
      <c r="BU5" s="69"/>
      <c r="CA5" s="69"/>
      <c r="CG5" s="69"/>
      <c r="CM5" s="69"/>
      <c r="CS5" s="69"/>
    </row>
    <row r="6" spans="1:251">
      <c r="A6" s="2" t="s">
        <v>127</v>
      </c>
      <c r="C6" s="9">
        <v>694</v>
      </c>
      <c r="D6" s="9">
        <v>787</v>
      </c>
      <c r="E6" s="9">
        <v>811</v>
      </c>
      <c r="F6" s="9">
        <v>747</v>
      </c>
      <c r="G6" s="71">
        <f>SUM(C6:F6)</f>
        <v>3039</v>
      </c>
      <c r="H6" s="8"/>
      <c r="I6" s="9">
        <v>593</v>
      </c>
      <c r="J6" s="9">
        <v>731</v>
      </c>
      <c r="K6" s="9">
        <v>771</v>
      </c>
      <c r="L6" s="9">
        <v>725</v>
      </c>
      <c r="M6" s="71">
        <f>SUM(I6:L6)</f>
        <v>2820</v>
      </c>
      <c r="O6" s="9">
        <v>559</v>
      </c>
      <c r="P6" s="9">
        <v>688</v>
      </c>
      <c r="Q6" s="9">
        <v>767</v>
      </c>
      <c r="R6" s="9">
        <v>704</v>
      </c>
      <c r="S6" s="71">
        <f>SUM(O6:R6)</f>
        <v>2718</v>
      </c>
      <c r="U6" s="9">
        <v>672</v>
      </c>
      <c r="V6" s="9">
        <v>824</v>
      </c>
      <c r="W6" s="9">
        <v>912</v>
      </c>
      <c r="X6" s="9">
        <v>916</v>
      </c>
      <c r="Y6" s="71">
        <f>SUM(U6:X6)</f>
        <v>3324</v>
      </c>
      <c r="AA6" s="9">
        <v>578</v>
      </c>
      <c r="AB6" s="9">
        <v>728</v>
      </c>
      <c r="AC6" s="9">
        <v>807</v>
      </c>
      <c r="AD6" s="9">
        <v>821</v>
      </c>
      <c r="AE6" s="71">
        <f>SUM(AA6:AD6)</f>
        <v>2934</v>
      </c>
      <c r="AG6" s="9">
        <v>644</v>
      </c>
      <c r="AH6" s="9">
        <v>870</v>
      </c>
      <c r="AI6" s="9">
        <v>954</v>
      </c>
      <c r="AJ6" s="9">
        <v>1061</v>
      </c>
      <c r="AK6" s="71">
        <f>SUM(AG6:AJ6)</f>
        <v>3529</v>
      </c>
      <c r="AM6" s="9">
        <v>1033</v>
      </c>
      <c r="AN6" s="9">
        <v>1373</v>
      </c>
      <c r="AO6" s="9">
        <v>1390</v>
      </c>
      <c r="AP6" s="9">
        <v>1472</v>
      </c>
      <c r="AQ6" s="71">
        <f>SUM(AM6:AP6)</f>
        <v>5268</v>
      </c>
      <c r="AS6" s="9">
        <v>1674</v>
      </c>
      <c r="AT6" s="9">
        <v>2048</v>
      </c>
      <c r="AU6" s="9">
        <v>1977</v>
      </c>
      <c r="AV6" s="9">
        <v>1925</v>
      </c>
      <c r="AW6" s="71">
        <f>SUM(AS6:AV6)</f>
        <v>7624</v>
      </c>
      <c r="AY6" s="9">
        <v>1856</v>
      </c>
      <c r="AZ6" s="9">
        <v>2097</v>
      </c>
      <c r="BA6" s="9">
        <v>2051</v>
      </c>
      <c r="BB6" s="9">
        <f>7766-6004</f>
        <v>1762</v>
      </c>
      <c r="BC6" s="71">
        <f>SUM(AY6:BB6)</f>
        <v>7766</v>
      </c>
      <c r="BE6" s="9">
        <v>1270</v>
      </c>
      <c r="BF6" s="9">
        <v>1781</v>
      </c>
      <c r="BG6" s="9">
        <v>1703</v>
      </c>
      <c r="BH6" s="27">
        <v>1629</v>
      </c>
      <c r="BI6" s="71">
        <f>SUM(BE6:BH6)</f>
        <v>6383</v>
      </c>
      <c r="BK6" s="9">
        <v>1604</v>
      </c>
      <c r="BL6" s="9">
        <v>2056</v>
      </c>
      <c r="BM6" s="9">
        <v>2308</v>
      </c>
      <c r="BN6" s="27">
        <v>2552</v>
      </c>
      <c r="BO6" s="71">
        <f>SUM(BK6:BN6)</f>
        <v>8520</v>
      </c>
      <c r="BQ6" s="9">
        <v>2179</v>
      </c>
      <c r="BR6" s="9">
        <v>2316</v>
      </c>
      <c r="BS6" s="9">
        <v>2356</v>
      </c>
      <c r="BT6" s="27">
        <v>2237</v>
      </c>
      <c r="BU6" s="71">
        <f>SUM(BQ6:BT6)</f>
        <v>9088</v>
      </c>
      <c r="BW6" s="9">
        <v>1837</v>
      </c>
      <c r="BX6" s="9">
        <v>2159</v>
      </c>
      <c r="BY6" s="9">
        <v>2247</v>
      </c>
      <c r="BZ6" s="27">
        <v>2283</v>
      </c>
      <c r="CA6" s="71">
        <f>SUM(BW6:BZ6)</f>
        <v>8526</v>
      </c>
      <c r="CC6" s="9">
        <v>1799</v>
      </c>
      <c r="CD6" s="9">
        <v>2237</v>
      </c>
      <c r="CE6" s="9">
        <v>2456</v>
      </c>
      <c r="CF6" s="27">
        <v>2491</v>
      </c>
      <c r="CG6" s="71">
        <f>SUM(CC6:CF6)</f>
        <v>8983</v>
      </c>
      <c r="CI6" s="9">
        <v>2064</v>
      </c>
      <c r="CJ6" s="9">
        <v>2197</v>
      </c>
      <c r="CK6" s="9">
        <v>2322</v>
      </c>
      <c r="CL6" s="27">
        <v>2155</v>
      </c>
      <c r="CM6" s="71">
        <f>SUM(CI6:CL6)</f>
        <v>8738</v>
      </c>
      <c r="CO6" s="9">
        <v>2303</v>
      </c>
      <c r="CP6" s="9">
        <v>2523</v>
      </c>
      <c r="CQ6" s="9"/>
      <c r="CR6" s="27"/>
      <c r="CS6" s="71">
        <f>SUM(CO6:CR6)</f>
        <v>4826</v>
      </c>
    </row>
    <row r="7" spans="1:251">
      <c r="A7" s="2" t="s">
        <v>187</v>
      </c>
      <c r="C7" s="9">
        <v>743</v>
      </c>
      <c r="D7" s="9">
        <v>733</v>
      </c>
      <c r="E7" s="9">
        <v>681</v>
      </c>
      <c r="F7" s="9">
        <v>726</v>
      </c>
      <c r="G7" s="71">
        <f t="shared" ref="G7:G12" si="0">SUM(C7:F7)</f>
        <v>2883</v>
      </c>
      <c r="H7" s="8"/>
      <c r="I7" s="9">
        <v>681</v>
      </c>
      <c r="J7" s="9">
        <v>718</v>
      </c>
      <c r="K7" s="9">
        <v>660</v>
      </c>
      <c r="L7" s="9">
        <v>674</v>
      </c>
      <c r="M7" s="71">
        <f t="shared" ref="M7:M12" si="1">SUM(I7:L7)</f>
        <v>2733</v>
      </c>
      <c r="O7" s="9">
        <v>673</v>
      </c>
      <c r="P7" s="9">
        <v>687</v>
      </c>
      <c r="Q7" s="9">
        <v>657</v>
      </c>
      <c r="R7" s="9">
        <v>684</v>
      </c>
      <c r="S7" s="71">
        <f t="shared" ref="S7:S12" si="2">SUM(O7:R7)</f>
        <v>2701</v>
      </c>
      <c r="U7" s="9">
        <v>703</v>
      </c>
      <c r="V7" s="9">
        <v>1103</v>
      </c>
      <c r="W7" s="9">
        <v>1147</v>
      </c>
      <c r="X7" s="9">
        <v>1158</v>
      </c>
      <c r="Y7" s="71">
        <f t="shared" ref="Y7:Y12" si="3">SUM(U7:X7)</f>
        <v>4111</v>
      </c>
      <c r="AA7" s="9">
        <v>703</v>
      </c>
      <c r="AB7" s="9">
        <v>1103</v>
      </c>
      <c r="AC7" s="9">
        <v>1147</v>
      </c>
      <c r="AD7" s="9">
        <v>1158</v>
      </c>
      <c r="AE7" s="71">
        <f t="shared" ref="AE7:AE12" si="4">SUM(AA7:AD7)</f>
        <v>4111</v>
      </c>
      <c r="AG7" s="9">
        <v>1195</v>
      </c>
      <c r="AH7" s="9">
        <v>1394</v>
      </c>
      <c r="AI7" s="9">
        <v>1247</v>
      </c>
      <c r="AJ7" s="9">
        <v>1277</v>
      </c>
      <c r="AK7" s="71">
        <f t="shared" ref="AK7:AK12" si="5">SUM(AG7:AJ7)</f>
        <v>5113</v>
      </c>
      <c r="AM7" s="9">
        <v>1353</v>
      </c>
      <c r="AN7" s="9">
        <v>1438</v>
      </c>
      <c r="AO7" s="9">
        <v>1292</v>
      </c>
      <c r="AP7" s="9">
        <v>1356</v>
      </c>
      <c r="AQ7" s="71">
        <f t="shared" ref="AQ7:AQ12" si="6">SUM(AM7:AP7)</f>
        <v>5439</v>
      </c>
      <c r="AS7" s="9">
        <v>1432</v>
      </c>
      <c r="AT7" s="9">
        <v>1530</v>
      </c>
      <c r="AU7" s="9">
        <v>1347</v>
      </c>
      <c r="AV7" s="9">
        <v>1475</v>
      </c>
      <c r="AW7" s="71">
        <f t="shared" ref="AW7:AW12" si="7">SUM(AS7:AV7)</f>
        <v>5784</v>
      </c>
      <c r="AY7" s="9">
        <v>1483</v>
      </c>
      <c r="AZ7" s="9">
        <v>1637</v>
      </c>
      <c r="BA7" s="9">
        <v>1426</v>
      </c>
      <c r="BB7" s="9">
        <f>5882-4546</f>
        <v>1336</v>
      </c>
      <c r="BC7" s="71">
        <f t="shared" ref="BC7:BC12" si="8">SUM(AY7:BB7)</f>
        <v>5882</v>
      </c>
      <c r="BE7" s="9">
        <v>1318</v>
      </c>
      <c r="BF7" s="9">
        <v>1324</v>
      </c>
      <c r="BG7" s="9">
        <v>1242</v>
      </c>
      <c r="BH7" s="27">
        <v>1254</v>
      </c>
      <c r="BI7" s="71">
        <f t="shared" ref="BI7:BI12" si="9">SUM(BE7:BH7)</f>
        <v>5138</v>
      </c>
      <c r="BK7" s="9">
        <v>1418</v>
      </c>
      <c r="BL7" s="9">
        <v>1532</v>
      </c>
      <c r="BM7" s="9">
        <v>1372</v>
      </c>
      <c r="BN7" s="27">
        <v>1425</v>
      </c>
      <c r="BO7" s="71">
        <f t="shared" ref="BO7:BO12" si="10">SUM(BK7:BN7)</f>
        <v>5747</v>
      </c>
      <c r="BQ7" s="9">
        <v>1552</v>
      </c>
      <c r="BR7" s="9">
        <v>1651</v>
      </c>
      <c r="BS7" s="9">
        <v>1501</v>
      </c>
      <c r="BT7" s="27">
        <v>1603</v>
      </c>
      <c r="BU7" s="71">
        <f t="shared" ref="BU7:BU12" si="11">SUM(BQ7:BT7)</f>
        <v>6307</v>
      </c>
      <c r="BW7" s="9">
        <v>1636</v>
      </c>
      <c r="BX7" s="9">
        <v>1693</v>
      </c>
      <c r="BY7" s="9">
        <v>1517</v>
      </c>
      <c r="BZ7" s="27">
        <v>1645</v>
      </c>
      <c r="CA7" s="71">
        <f t="shared" ref="CA7:CA12" si="12">SUM(BW7:BZ7)</f>
        <v>6491</v>
      </c>
      <c r="CC7" s="9">
        <v>1655</v>
      </c>
      <c r="CD7" s="9">
        <v>1741</v>
      </c>
      <c r="CE7" s="9">
        <v>1556</v>
      </c>
      <c r="CF7" s="27">
        <v>1609</v>
      </c>
      <c r="CG7" s="71">
        <f t="shared" ref="CG7:CG12" si="13">SUM(CC7:CF7)</f>
        <v>6561</v>
      </c>
      <c r="CI7" s="9">
        <v>1737</v>
      </c>
      <c r="CJ7" s="9">
        <v>1763</v>
      </c>
      <c r="CK7" s="9">
        <v>1559</v>
      </c>
      <c r="CL7" s="27">
        <v>1777</v>
      </c>
      <c r="CM7" s="71">
        <f t="shared" ref="CM7:CM12" si="14">SUM(CI7:CL7)</f>
        <v>6836</v>
      </c>
      <c r="CO7" s="9">
        <v>1796</v>
      </c>
      <c r="CP7" s="9">
        <v>1886</v>
      </c>
      <c r="CQ7" s="9"/>
      <c r="CR7" s="27"/>
      <c r="CS7" s="71">
        <f t="shared" ref="CS7:CS12" si="15">SUM(CO7:CR7)</f>
        <v>3682</v>
      </c>
    </row>
    <row r="8" spans="1:251" hidden="1">
      <c r="A8" s="2" t="s">
        <v>36</v>
      </c>
      <c r="C8" s="9">
        <v>25</v>
      </c>
      <c r="D8" s="9">
        <v>26</v>
      </c>
      <c r="E8" s="9">
        <v>25</v>
      </c>
      <c r="F8" s="9">
        <v>23</v>
      </c>
      <c r="G8" s="71">
        <f t="shared" si="0"/>
        <v>99</v>
      </c>
      <c r="H8" s="8"/>
      <c r="I8" s="9">
        <v>18</v>
      </c>
      <c r="J8" s="9">
        <v>19</v>
      </c>
      <c r="K8" s="9">
        <v>18</v>
      </c>
      <c r="L8" s="9">
        <v>14</v>
      </c>
      <c r="M8" s="71">
        <f t="shared" si="1"/>
        <v>69</v>
      </c>
      <c r="O8" s="9">
        <v>15</v>
      </c>
      <c r="P8" s="9">
        <v>14</v>
      </c>
      <c r="Q8" s="9">
        <v>12</v>
      </c>
      <c r="R8" s="9">
        <v>13</v>
      </c>
      <c r="S8" s="71">
        <f t="shared" si="2"/>
        <v>54</v>
      </c>
      <c r="U8" s="9">
        <v>12</v>
      </c>
      <c r="V8" s="9">
        <v>12</v>
      </c>
      <c r="W8" s="9">
        <v>5</v>
      </c>
      <c r="X8" s="9">
        <v>3</v>
      </c>
      <c r="Y8" s="71">
        <f t="shared" si="3"/>
        <v>32</v>
      </c>
      <c r="AA8" s="9">
        <v>12</v>
      </c>
      <c r="AB8" s="9">
        <v>12</v>
      </c>
      <c r="AC8" s="9">
        <v>5</v>
      </c>
      <c r="AD8" s="9">
        <v>3</v>
      </c>
      <c r="AE8" s="71">
        <f t="shared" si="4"/>
        <v>32</v>
      </c>
      <c r="AG8" s="9">
        <v>2</v>
      </c>
      <c r="AH8" s="9">
        <v>1</v>
      </c>
      <c r="AI8" s="9">
        <v>1</v>
      </c>
      <c r="AJ8" s="9">
        <v>0</v>
      </c>
      <c r="AK8" s="71">
        <f t="shared" si="5"/>
        <v>4</v>
      </c>
      <c r="AM8" s="9"/>
      <c r="AN8" s="9"/>
      <c r="AO8" s="9"/>
      <c r="AP8" s="9"/>
      <c r="AQ8" s="71">
        <f t="shared" si="6"/>
        <v>0</v>
      </c>
      <c r="AS8" s="9"/>
      <c r="AT8" s="9"/>
      <c r="AU8" s="9"/>
      <c r="AV8" s="9"/>
      <c r="AW8" s="71">
        <f t="shared" si="7"/>
        <v>0</v>
      </c>
      <c r="AY8" s="9"/>
      <c r="AZ8" s="9"/>
      <c r="BA8" s="9"/>
      <c r="BB8" s="9"/>
      <c r="BC8" s="71">
        <f t="shared" si="8"/>
        <v>0</v>
      </c>
      <c r="BE8" s="9"/>
      <c r="BF8" s="9"/>
      <c r="BG8" s="9"/>
      <c r="BH8" s="27"/>
      <c r="BI8" s="71">
        <f t="shared" si="9"/>
        <v>0</v>
      </c>
      <c r="BK8" s="9"/>
      <c r="BL8" s="9"/>
      <c r="BM8" s="9"/>
      <c r="BN8" s="27"/>
      <c r="BO8" s="71">
        <f t="shared" si="10"/>
        <v>0</v>
      </c>
      <c r="BQ8" s="9"/>
      <c r="BR8" s="9"/>
      <c r="BS8" s="9"/>
      <c r="BT8" s="27"/>
      <c r="BU8" s="71">
        <f t="shared" si="11"/>
        <v>0</v>
      </c>
      <c r="BW8" s="9"/>
      <c r="BX8" s="9"/>
      <c r="BY8" s="9"/>
      <c r="BZ8" s="27"/>
      <c r="CA8" s="71">
        <f t="shared" si="12"/>
        <v>0</v>
      </c>
      <c r="CC8" s="9"/>
      <c r="CD8" s="9"/>
      <c r="CE8" s="9"/>
      <c r="CF8" s="27"/>
      <c r="CG8" s="71">
        <f t="shared" si="13"/>
        <v>0</v>
      </c>
      <c r="CI8" s="9"/>
      <c r="CJ8" s="9"/>
      <c r="CK8" s="9"/>
      <c r="CL8" s="27"/>
      <c r="CM8" s="71">
        <f t="shared" si="14"/>
        <v>0</v>
      </c>
      <c r="CO8" s="9"/>
      <c r="CP8" s="9"/>
      <c r="CQ8" s="9"/>
      <c r="CR8" s="27"/>
      <c r="CS8" s="71">
        <f t="shared" si="15"/>
        <v>0</v>
      </c>
    </row>
    <row r="9" spans="1:251" hidden="1">
      <c r="A9" s="2" t="s">
        <v>37</v>
      </c>
      <c r="C9" s="9">
        <v>49</v>
      </c>
      <c r="D9" s="9">
        <v>92</v>
      </c>
      <c r="E9" s="9">
        <v>65</v>
      </c>
      <c r="F9" s="9">
        <v>60</v>
      </c>
      <c r="G9" s="71">
        <f t="shared" si="0"/>
        <v>266</v>
      </c>
      <c r="H9" s="8"/>
      <c r="I9" s="9">
        <v>53</v>
      </c>
      <c r="J9" s="9">
        <v>54</v>
      </c>
      <c r="K9" s="9">
        <v>57</v>
      </c>
      <c r="L9" s="9">
        <v>59</v>
      </c>
      <c r="M9" s="71">
        <f t="shared" si="1"/>
        <v>223</v>
      </c>
      <c r="O9" s="9">
        <v>76</v>
      </c>
      <c r="P9" s="9">
        <v>67</v>
      </c>
      <c r="Q9" s="9">
        <v>87</v>
      </c>
      <c r="R9" s="9">
        <v>75</v>
      </c>
      <c r="S9" s="71">
        <f t="shared" si="2"/>
        <v>305</v>
      </c>
      <c r="U9" s="9">
        <v>32</v>
      </c>
      <c r="V9" s="9">
        <v>49</v>
      </c>
      <c r="W9" s="9">
        <v>54</v>
      </c>
      <c r="X9" s="9">
        <v>62</v>
      </c>
      <c r="Y9" s="71">
        <f t="shared" si="3"/>
        <v>197</v>
      </c>
      <c r="AA9" s="9"/>
      <c r="AB9" s="9"/>
      <c r="AC9" s="9"/>
      <c r="AD9" s="9"/>
      <c r="AE9" s="71">
        <f t="shared" si="4"/>
        <v>0</v>
      </c>
      <c r="AG9" s="9"/>
      <c r="AH9" s="9"/>
      <c r="AI9" s="9"/>
      <c r="AJ9" s="9"/>
      <c r="AK9" s="71">
        <f t="shared" si="5"/>
        <v>0</v>
      </c>
      <c r="AM9" s="9"/>
      <c r="AN9" s="9"/>
      <c r="AO9" s="9"/>
      <c r="AP9" s="9"/>
      <c r="AQ9" s="71">
        <f t="shared" si="6"/>
        <v>0</v>
      </c>
      <c r="AS9" s="9"/>
      <c r="AT9" s="9"/>
      <c r="AU9" s="9"/>
      <c r="AV9" s="9"/>
      <c r="AW9" s="71">
        <f t="shared" si="7"/>
        <v>0</v>
      </c>
      <c r="AY9" s="9"/>
      <c r="AZ9" s="9"/>
      <c r="BA9" s="9"/>
      <c r="BB9" s="9"/>
      <c r="BC9" s="71">
        <f t="shared" si="8"/>
        <v>0</v>
      </c>
      <c r="BE9" s="9"/>
      <c r="BF9" s="9"/>
      <c r="BG9" s="9"/>
      <c r="BH9" s="27"/>
      <c r="BI9" s="71">
        <f t="shared" si="9"/>
        <v>0</v>
      </c>
      <c r="BK9" s="9"/>
      <c r="BL9" s="9"/>
      <c r="BM9" s="9"/>
      <c r="BN9" s="27"/>
      <c r="BO9" s="71">
        <f t="shared" si="10"/>
        <v>0</v>
      </c>
      <c r="BQ9" s="9"/>
      <c r="BR9" s="9"/>
      <c r="BS9" s="9"/>
      <c r="BT9" s="27"/>
      <c r="BU9" s="71">
        <f t="shared" si="11"/>
        <v>0</v>
      </c>
      <c r="BW9" s="9"/>
      <c r="BX9" s="9"/>
      <c r="BY9" s="9"/>
      <c r="BZ9" s="27"/>
      <c r="CA9" s="71">
        <f t="shared" si="12"/>
        <v>0</v>
      </c>
      <c r="CC9" s="9"/>
      <c r="CD9" s="9"/>
      <c r="CE9" s="9"/>
      <c r="CF9" s="27"/>
      <c r="CG9" s="71">
        <f t="shared" si="13"/>
        <v>0</v>
      </c>
      <c r="CI9" s="9"/>
      <c r="CJ9" s="9"/>
      <c r="CK9" s="9"/>
      <c r="CL9" s="27"/>
      <c r="CM9" s="71">
        <f t="shared" si="14"/>
        <v>0</v>
      </c>
      <c r="CO9" s="9"/>
      <c r="CP9" s="9"/>
      <c r="CQ9" s="9"/>
      <c r="CR9" s="27"/>
      <c r="CS9" s="71">
        <f t="shared" si="15"/>
        <v>0</v>
      </c>
    </row>
    <row r="10" spans="1:251">
      <c r="A10" s="2" t="s">
        <v>128</v>
      </c>
      <c r="C10" s="9">
        <v>34</v>
      </c>
      <c r="D10" s="9">
        <v>46</v>
      </c>
      <c r="E10" s="9">
        <v>39</v>
      </c>
      <c r="F10" s="9">
        <v>23</v>
      </c>
      <c r="G10" s="71">
        <f t="shared" si="0"/>
        <v>142</v>
      </c>
      <c r="H10" s="8"/>
      <c r="I10" s="9">
        <v>11</v>
      </c>
      <c r="J10" s="9">
        <v>23</v>
      </c>
      <c r="K10" s="9">
        <v>23</v>
      </c>
      <c r="L10" s="9">
        <v>22</v>
      </c>
      <c r="M10" s="71">
        <f t="shared" si="1"/>
        <v>79</v>
      </c>
      <c r="O10" s="9">
        <v>17</v>
      </c>
      <c r="P10" s="9">
        <v>18</v>
      </c>
      <c r="Q10" s="9">
        <v>16</v>
      </c>
      <c r="R10" s="9">
        <v>19</v>
      </c>
      <c r="S10" s="71">
        <f t="shared" si="2"/>
        <v>70</v>
      </c>
      <c r="U10" s="9">
        <v>19</v>
      </c>
      <c r="V10" s="9">
        <v>19</v>
      </c>
      <c r="W10" s="9">
        <v>22</v>
      </c>
      <c r="X10" s="9">
        <v>21</v>
      </c>
      <c r="Y10" s="71">
        <f t="shared" si="3"/>
        <v>81</v>
      </c>
      <c r="AA10" s="9">
        <v>19</v>
      </c>
      <c r="AB10" s="9">
        <v>19</v>
      </c>
      <c r="AC10" s="9">
        <v>22</v>
      </c>
      <c r="AD10" s="9">
        <v>21</v>
      </c>
      <c r="AE10" s="71">
        <f t="shared" si="4"/>
        <v>81</v>
      </c>
      <c r="AG10" s="9">
        <v>25</v>
      </c>
      <c r="AH10" s="9">
        <v>29</v>
      </c>
      <c r="AI10" s="9">
        <v>27</v>
      </c>
      <c r="AJ10" s="9">
        <v>23</v>
      </c>
      <c r="AK10" s="71">
        <f t="shared" si="5"/>
        <v>104</v>
      </c>
      <c r="AM10" s="9">
        <v>23</v>
      </c>
      <c r="AN10" s="9">
        <v>22</v>
      </c>
      <c r="AO10" s="9">
        <v>18</v>
      </c>
      <c r="AP10" s="9">
        <v>32</v>
      </c>
      <c r="AQ10" s="71">
        <f t="shared" si="6"/>
        <v>95</v>
      </c>
      <c r="AS10" s="9">
        <v>20</v>
      </c>
      <c r="AT10" s="9">
        <v>31</v>
      </c>
      <c r="AU10" s="9">
        <v>29</v>
      </c>
      <c r="AV10" s="9">
        <v>32</v>
      </c>
      <c r="AW10" s="71">
        <f t="shared" si="7"/>
        <v>112</v>
      </c>
      <c r="AY10" s="9">
        <v>24</v>
      </c>
      <c r="AZ10" s="9">
        <v>53</v>
      </c>
      <c r="BA10" s="9">
        <v>47</v>
      </c>
      <c r="BB10" s="9">
        <f>171-124</f>
        <v>47</v>
      </c>
      <c r="BC10" s="71">
        <f t="shared" si="8"/>
        <v>171</v>
      </c>
      <c r="BE10" s="9">
        <v>46</v>
      </c>
      <c r="BF10" s="9">
        <v>37</v>
      </c>
      <c r="BG10" s="9">
        <v>35</v>
      </c>
      <c r="BH10" s="27">
        <v>42</v>
      </c>
      <c r="BI10" s="71">
        <f t="shared" si="9"/>
        <v>160</v>
      </c>
      <c r="BK10" s="9">
        <v>39</v>
      </c>
      <c r="BL10" s="9">
        <v>48</v>
      </c>
      <c r="BM10" s="9">
        <v>45</v>
      </c>
      <c r="BN10" s="27">
        <v>53</v>
      </c>
      <c r="BO10" s="71">
        <f t="shared" si="10"/>
        <v>185</v>
      </c>
      <c r="BQ10" s="9">
        <v>43</v>
      </c>
      <c r="BR10" s="9">
        <v>50</v>
      </c>
      <c r="BS10" s="9">
        <v>55</v>
      </c>
      <c r="BT10" s="27">
        <v>62</v>
      </c>
      <c r="BU10" s="71">
        <f t="shared" si="11"/>
        <v>210</v>
      </c>
      <c r="BW10" s="9">
        <v>59</v>
      </c>
      <c r="BX10" s="9">
        <v>52</v>
      </c>
      <c r="BY10" s="9">
        <v>51</v>
      </c>
      <c r="BZ10" s="27">
        <v>75</v>
      </c>
      <c r="CA10" s="71">
        <f t="shared" si="12"/>
        <v>237</v>
      </c>
      <c r="CC10" s="9">
        <v>55</v>
      </c>
      <c r="CD10" s="9">
        <v>62</v>
      </c>
      <c r="CE10" s="9">
        <v>62</v>
      </c>
      <c r="CF10" s="27">
        <v>87</v>
      </c>
      <c r="CG10" s="71">
        <f t="shared" si="13"/>
        <v>266</v>
      </c>
      <c r="CI10" s="9">
        <v>65</v>
      </c>
      <c r="CJ10" s="9">
        <v>67</v>
      </c>
      <c r="CK10" s="9">
        <v>65</v>
      </c>
      <c r="CL10" s="27">
        <v>93</v>
      </c>
      <c r="CM10" s="71">
        <f t="shared" si="14"/>
        <v>290</v>
      </c>
      <c r="CO10" s="9">
        <v>65</v>
      </c>
      <c r="CP10" s="9">
        <v>62</v>
      </c>
      <c r="CQ10" s="9"/>
      <c r="CR10" s="27"/>
      <c r="CS10" s="71">
        <f t="shared" si="15"/>
        <v>127</v>
      </c>
    </row>
    <row r="11" spans="1:251" hidden="1">
      <c r="A11" s="2" t="s">
        <v>41</v>
      </c>
      <c r="C11" s="9">
        <v>13</v>
      </c>
      <c r="D11" s="9">
        <v>16</v>
      </c>
      <c r="E11" s="9">
        <v>17</v>
      </c>
      <c r="F11" s="9">
        <v>20</v>
      </c>
      <c r="G11" s="71">
        <f t="shared" si="0"/>
        <v>66</v>
      </c>
      <c r="H11" s="8"/>
      <c r="I11" s="9">
        <v>6</v>
      </c>
      <c r="J11" s="9">
        <v>3</v>
      </c>
      <c r="K11" s="9">
        <v>3</v>
      </c>
      <c r="L11" s="9">
        <v>4</v>
      </c>
      <c r="M11" s="71">
        <f t="shared" si="1"/>
        <v>16</v>
      </c>
      <c r="O11" s="9">
        <v>3</v>
      </c>
      <c r="P11" s="9">
        <v>1</v>
      </c>
      <c r="Q11" s="9">
        <v>1</v>
      </c>
      <c r="R11" s="9">
        <v>1</v>
      </c>
      <c r="S11" s="71">
        <f t="shared" si="2"/>
        <v>6</v>
      </c>
      <c r="U11" s="9">
        <v>0</v>
      </c>
      <c r="V11" s="9">
        <v>0</v>
      </c>
      <c r="W11" s="9">
        <v>0</v>
      </c>
      <c r="X11" s="9">
        <v>0</v>
      </c>
      <c r="Y11" s="71">
        <f t="shared" si="3"/>
        <v>0</v>
      </c>
      <c r="AA11" s="9"/>
      <c r="AB11" s="9"/>
      <c r="AC11" s="9"/>
      <c r="AD11" s="9"/>
      <c r="AE11" s="71">
        <f t="shared" si="4"/>
        <v>0</v>
      </c>
      <c r="AG11" s="9"/>
      <c r="AH11" s="9"/>
      <c r="AI11" s="9"/>
      <c r="AJ11" s="9"/>
      <c r="AK11" s="71">
        <f t="shared" si="5"/>
        <v>0</v>
      </c>
      <c r="AM11" s="9"/>
      <c r="AN11" s="9"/>
      <c r="AO11" s="9"/>
      <c r="AP11" s="9"/>
      <c r="AQ11" s="71">
        <f t="shared" si="6"/>
        <v>0</v>
      </c>
      <c r="AS11" s="9"/>
      <c r="AT11" s="9"/>
      <c r="AU11" s="9"/>
      <c r="AV11" s="9"/>
      <c r="AW11" s="71">
        <f t="shared" si="7"/>
        <v>0</v>
      </c>
      <c r="AY11" s="9"/>
      <c r="AZ11" s="9"/>
      <c r="BA11" s="9"/>
      <c r="BB11" s="9"/>
      <c r="BC11" s="71">
        <f t="shared" si="8"/>
        <v>0</v>
      </c>
      <c r="BE11" s="9"/>
      <c r="BF11" s="9"/>
      <c r="BG11" s="9"/>
      <c r="BH11" s="27"/>
      <c r="BI11" s="71">
        <f t="shared" si="9"/>
        <v>0</v>
      </c>
      <c r="BK11" s="9"/>
      <c r="BL11" s="9"/>
      <c r="BM11" s="9"/>
      <c r="BN11" s="27"/>
      <c r="BO11" s="71">
        <f t="shared" si="10"/>
        <v>0</v>
      </c>
      <c r="BQ11" s="9"/>
      <c r="BR11" s="9"/>
      <c r="BS11" s="9"/>
      <c r="BT11" s="27"/>
      <c r="BU11" s="71">
        <f t="shared" si="11"/>
        <v>0</v>
      </c>
      <c r="BW11" s="9"/>
      <c r="BX11" s="9"/>
      <c r="BY11" s="9"/>
      <c r="BZ11" s="27"/>
      <c r="CA11" s="71">
        <f t="shared" si="12"/>
        <v>0</v>
      </c>
      <c r="CC11" s="9"/>
      <c r="CD11" s="9"/>
      <c r="CE11" s="9"/>
      <c r="CF11" s="27"/>
      <c r="CG11" s="71">
        <f t="shared" si="13"/>
        <v>0</v>
      </c>
      <c r="CI11" s="9"/>
      <c r="CJ11" s="9"/>
      <c r="CK11" s="9"/>
      <c r="CL11" s="27"/>
      <c r="CM11" s="71">
        <f t="shared" si="14"/>
        <v>0</v>
      </c>
      <c r="CO11" s="9"/>
      <c r="CP11" s="9"/>
      <c r="CQ11" s="9"/>
      <c r="CR11" s="27"/>
      <c r="CS11" s="71">
        <f t="shared" si="15"/>
        <v>0</v>
      </c>
    </row>
    <row r="12" spans="1:251">
      <c r="A12" s="2" t="s">
        <v>96</v>
      </c>
      <c r="C12" s="9">
        <v>-20</v>
      </c>
      <c r="D12" s="9">
        <v>-18</v>
      </c>
      <c r="E12" s="9">
        <v>-17</v>
      </c>
      <c r="F12" s="9">
        <v>-14</v>
      </c>
      <c r="G12" s="71">
        <f t="shared" si="0"/>
        <v>-69</v>
      </c>
      <c r="H12" s="8"/>
      <c r="I12" s="9">
        <v>-11</v>
      </c>
      <c r="J12" s="9">
        <v>-18</v>
      </c>
      <c r="K12" s="9">
        <v>-12</v>
      </c>
      <c r="L12" s="9">
        <v>-10</v>
      </c>
      <c r="M12" s="71">
        <f t="shared" si="1"/>
        <v>-51</v>
      </c>
      <c r="O12" s="9">
        <v>-9</v>
      </c>
      <c r="P12" s="9">
        <v>-7</v>
      </c>
      <c r="Q12" s="9">
        <v>-8</v>
      </c>
      <c r="R12" s="9">
        <v>-6</v>
      </c>
      <c r="S12" s="71">
        <f t="shared" si="2"/>
        <v>-30</v>
      </c>
      <c r="U12" s="9">
        <v>-8</v>
      </c>
      <c r="V12" s="9">
        <v>-7</v>
      </c>
      <c r="W12" s="9">
        <v>-4</v>
      </c>
      <c r="X12" s="9">
        <v>-1</v>
      </c>
      <c r="Y12" s="71">
        <f t="shared" si="3"/>
        <v>-20</v>
      </c>
      <c r="AA12" s="9">
        <v>-8</v>
      </c>
      <c r="AB12" s="9">
        <v>-7</v>
      </c>
      <c r="AC12" s="9">
        <v>-4</v>
      </c>
      <c r="AD12" s="9">
        <v>-1</v>
      </c>
      <c r="AE12" s="71">
        <f t="shared" si="4"/>
        <v>-20</v>
      </c>
      <c r="AG12" s="9"/>
      <c r="AH12" s="9">
        <v>-2</v>
      </c>
      <c r="AI12" s="9">
        <v>2</v>
      </c>
      <c r="AJ12" s="9">
        <v>0</v>
      </c>
      <c r="AK12" s="71">
        <f t="shared" si="5"/>
        <v>0</v>
      </c>
      <c r="AM12" s="9">
        <v>3</v>
      </c>
      <c r="AN12" s="9">
        <v>4</v>
      </c>
      <c r="AO12" s="9">
        <v>3</v>
      </c>
      <c r="AP12" s="9">
        <v>3</v>
      </c>
      <c r="AQ12" s="71">
        <f t="shared" si="6"/>
        <v>13</v>
      </c>
      <c r="AS12" s="9">
        <v>4</v>
      </c>
      <c r="AT12" s="9">
        <v>3</v>
      </c>
      <c r="AU12" s="9">
        <v>3</v>
      </c>
      <c r="AV12" s="9">
        <v>-5</v>
      </c>
      <c r="AW12" s="71">
        <f t="shared" si="7"/>
        <v>5</v>
      </c>
      <c r="AY12" s="9">
        <v>3</v>
      </c>
      <c r="AZ12" s="9">
        <v>2</v>
      </c>
      <c r="BA12" s="9">
        <v>4</v>
      </c>
      <c r="BB12" s="9">
        <v>0</v>
      </c>
      <c r="BC12" s="71">
        <f t="shared" si="8"/>
        <v>9</v>
      </c>
      <c r="BE12" s="9">
        <v>1</v>
      </c>
      <c r="BF12" s="9">
        <v>2</v>
      </c>
      <c r="BG12" s="9">
        <v>1</v>
      </c>
      <c r="BH12" s="27">
        <v>2</v>
      </c>
      <c r="BI12" s="71">
        <f t="shared" si="9"/>
        <v>6</v>
      </c>
      <c r="BK12" s="9">
        <v>1</v>
      </c>
      <c r="BL12" s="9">
        <v>-1</v>
      </c>
      <c r="BM12" s="9">
        <v>0</v>
      </c>
      <c r="BN12" s="27">
        <v>-1</v>
      </c>
      <c r="BO12" s="71">
        <f t="shared" si="10"/>
        <v>-1</v>
      </c>
      <c r="BQ12" s="9">
        <v>0</v>
      </c>
      <c r="BR12" s="9">
        <v>-1</v>
      </c>
      <c r="BS12" s="9">
        <v>0</v>
      </c>
      <c r="BT12" s="27">
        <v>0</v>
      </c>
      <c r="BU12" s="71">
        <f t="shared" si="11"/>
        <v>-1</v>
      </c>
      <c r="BW12" s="9">
        <v>-1</v>
      </c>
      <c r="BX12" s="9">
        <v>0</v>
      </c>
      <c r="BY12" s="9">
        <v>1</v>
      </c>
      <c r="BZ12" s="27">
        <v>-1</v>
      </c>
      <c r="CA12" s="71">
        <f t="shared" si="12"/>
        <v>-1</v>
      </c>
      <c r="CC12" s="9">
        <v>0</v>
      </c>
      <c r="CD12" s="9">
        <v>-2</v>
      </c>
      <c r="CE12" s="9">
        <v>3</v>
      </c>
      <c r="CF12" s="27">
        <v>-2</v>
      </c>
      <c r="CG12" s="71">
        <f t="shared" si="13"/>
        <v>-1</v>
      </c>
      <c r="CI12" s="9">
        <v>-1</v>
      </c>
      <c r="CJ12" s="9">
        <v>1</v>
      </c>
      <c r="CK12" s="9">
        <v>0</v>
      </c>
      <c r="CL12" s="27">
        <v>-1</v>
      </c>
      <c r="CM12" s="71">
        <f t="shared" si="14"/>
        <v>-1</v>
      </c>
      <c r="CO12" s="9">
        <v>0</v>
      </c>
      <c r="CP12" s="9">
        <v>0</v>
      </c>
      <c r="CQ12" s="9"/>
      <c r="CR12" s="27"/>
      <c r="CS12" s="71">
        <f t="shared" si="15"/>
        <v>0</v>
      </c>
    </row>
    <row r="13" spans="1:251" s="154" customFormat="1" ht="18.75" customHeight="1">
      <c r="B13" s="155"/>
      <c r="C13" s="158">
        <f>SUM(C5:C12)</f>
        <v>1538</v>
      </c>
      <c r="D13" s="158">
        <f>SUM(D5:D12)</f>
        <v>1682</v>
      </c>
      <c r="E13" s="158">
        <f>SUM(E5:E12)</f>
        <v>1621</v>
      </c>
      <c r="F13" s="158">
        <f>SUM(F5:F12)</f>
        <v>1585</v>
      </c>
      <c r="G13" s="159">
        <f>SUM(G5:G12)</f>
        <v>6426</v>
      </c>
      <c r="H13" s="156"/>
      <c r="I13" s="158">
        <f>SUM(I5:I12)</f>
        <v>1351</v>
      </c>
      <c r="J13" s="158">
        <f>SUM(J5:J12)</f>
        <v>1530</v>
      </c>
      <c r="K13" s="158">
        <f>SUM(K5:K12)</f>
        <v>1520</v>
      </c>
      <c r="L13" s="158">
        <f>SUM(L5:L12)</f>
        <v>1488</v>
      </c>
      <c r="M13" s="159">
        <f>SUM(M5:M12)</f>
        <v>5889</v>
      </c>
      <c r="O13" s="158">
        <f>SUM(O5:O12)</f>
        <v>1334</v>
      </c>
      <c r="P13" s="158">
        <f>SUM(P5:P12)</f>
        <v>1468</v>
      </c>
      <c r="Q13" s="158">
        <f>SUM(Q5:Q12)</f>
        <v>1532</v>
      </c>
      <c r="R13" s="158">
        <f>SUM(R5:R12)</f>
        <v>1490</v>
      </c>
      <c r="S13" s="159">
        <f>SUM(S5:S12)</f>
        <v>5824</v>
      </c>
      <c r="U13" s="158">
        <f>SUM(U5:U12)</f>
        <v>1430</v>
      </c>
      <c r="V13" s="158">
        <f>SUM(V5:V12)</f>
        <v>2000</v>
      </c>
      <c r="W13" s="158">
        <f>SUM(W5:W12)</f>
        <v>2136</v>
      </c>
      <c r="X13" s="158">
        <f>SUM(X5:X12)</f>
        <v>2159</v>
      </c>
      <c r="Y13" s="159">
        <f>SUM(Y5:Y12)</f>
        <v>7725</v>
      </c>
      <c r="AA13" s="158">
        <f>SUM(AA5:AA12)</f>
        <v>1304</v>
      </c>
      <c r="AB13" s="158">
        <f>SUM(AB5:AB12)</f>
        <v>1855</v>
      </c>
      <c r="AC13" s="158">
        <f>SUM(AC5:AC12)</f>
        <v>1977</v>
      </c>
      <c r="AD13" s="158">
        <f>SUM(AD5:AD12)</f>
        <v>2002</v>
      </c>
      <c r="AE13" s="159">
        <f>SUM(AE5:AE12)</f>
        <v>7138</v>
      </c>
      <c r="AG13" s="158">
        <f>SUM(AG5:AG12)</f>
        <v>1866</v>
      </c>
      <c r="AH13" s="158">
        <f>SUM(AH5:AH12)</f>
        <v>2292</v>
      </c>
      <c r="AI13" s="158">
        <f>SUM(AI5:AI12)</f>
        <v>2231</v>
      </c>
      <c r="AJ13" s="158">
        <f>SUM(AJ5:AJ12)</f>
        <v>2361</v>
      </c>
      <c r="AK13" s="159">
        <f>SUM(AK5:AK12)</f>
        <v>8750</v>
      </c>
      <c r="AM13" s="158">
        <f>SUM(AM5:AM12)</f>
        <v>2412</v>
      </c>
      <c r="AN13" s="158">
        <f>SUM(AN5:AN12)</f>
        <v>2837</v>
      </c>
      <c r="AO13" s="158">
        <f>SUM(AO5:AO12)</f>
        <v>2703</v>
      </c>
      <c r="AP13" s="158">
        <f>SUM(AP5:AP12)</f>
        <v>2863</v>
      </c>
      <c r="AQ13" s="159">
        <f>SUM(AQ5:AQ12)</f>
        <v>10815</v>
      </c>
      <c r="AS13" s="158">
        <f>SUM(AS5:AS12)</f>
        <v>3130</v>
      </c>
      <c r="AT13" s="158">
        <f>SUM(AT5:AT12)</f>
        <v>3612</v>
      </c>
      <c r="AU13" s="158">
        <f>SUM(AU5:AU12)</f>
        <v>3356</v>
      </c>
      <c r="AV13" s="158">
        <f>SUM(AV5:AV12)</f>
        <v>3427</v>
      </c>
      <c r="AW13" s="159">
        <f>SUM(AW5:AW12)</f>
        <v>13525</v>
      </c>
      <c r="AY13" s="158">
        <f>SUM(AY5:AY12)</f>
        <v>3366</v>
      </c>
      <c r="AZ13" s="158">
        <f>SUM(AZ5:AZ12)</f>
        <v>3789</v>
      </c>
      <c r="BA13" s="158">
        <f>SUM(BA5:BA12)</f>
        <v>3528</v>
      </c>
      <c r="BB13" s="158">
        <f>SUM(BB5:BB12)</f>
        <v>3145</v>
      </c>
      <c r="BC13" s="159">
        <f>SUM(BC5:BC12)</f>
        <v>13828</v>
      </c>
      <c r="BE13" s="158">
        <f>SUM(BE5:BE12)</f>
        <v>2635</v>
      </c>
      <c r="BF13" s="158">
        <f>SUM(BF5:BF12)</f>
        <v>3144</v>
      </c>
      <c r="BG13" s="158">
        <f>SUM(BG5:BG12)</f>
        <v>2981</v>
      </c>
      <c r="BH13" s="158">
        <f>SUM(BH5:BH12)</f>
        <v>2927</v>
      </c>
      <c r="BI13" s="159">
        <f>SUM(BI5:BI12)</f>
        <v>11687</v>
      </c>
      <c r="BK13" s="158">
        <f>SUM(BK5:BK12)</f>
        <v>3062</v>
      </c>
      <c r="BL13" s="158">
        <f>SUM(BL5:BL12)</f>
        <v>3635</v>
      </c>
      <c r="BM13" s="158">
        <f>SUM(BM5:BM12)</f>
        <v>3725</v>
      </c>
      <c r="BN13" s="158">
        <f>SUM(BN5:BN12)</f>
        <v>4029</v>
      </c>
      <c r="BO13" s="159">
        <f>SUM(BO5:BO12)</f>
        <v>14451</v>
      </c>
      <c r="BQ13" s="158">
        <f>SUM(BQ5:BQ12)</f>
        <v>3774</v>
      </c>
      <c r="BR13" s="158">
        <f>SUM(BR5:BR12)</f>
        <v>4016</v>
      </c>
      <c r="BS13" s="158">
        <f>SUM(BS5:BS12)</f>
        <v>3912</v>
      </c>
      <c r="BT13" s="158">
        <f>SUM(BT5:BT12)</f>
        <v>3902</v>
      </c>
      <c r="BU13" s="159">
        <f>SUM(BU5:BU12)</f>
        <v>15604</v>
      </c>
      <c r="BW13" s="158">
        <f>SUM(BW5:BW12)</f>
        <v>3531</v>
      </c>
      <c r="BX13" s="158">
        <f>SUM(BX5:BX12)</f>
        <v>3904</v>
      </c>
      <c r="BY13" s="158">
        <f>SUM(BY5:BY12)</f>
        <v>3816</v>
      </c>
      <c r="BZ13" s="158">
        <f>SUM(BZ5:BZ12)</f>
        <v>4002</v>
      </c>
      <c r="CA13" s="159">
        <f>SUM(CA5:CA12)</f>
        <v>15253</v>
      </c>
      <c r="CC13" s="158">
        <f>SUM(CC5:CC12)</f>
        <v>3509</v>
      </c>
      <c r="CD13" s="158">
        <f>SUM(CD5:CD12)</f>
        <v>4038</v>
      </c>
      <c r="CE13" s="158">
        <f>SUM(CE5:CE12)</f>
        <v>4077</v>
      </c>
      <c r="CF13" s="158">
        <f>SUM(CF5:CF12)</f>
        <v>4185</v>
      </c>
      <c r="CG13" s="159">
        <f>SUM(CG5:CG12)</f>
        <v>15809</v>
      </c>
      <c r="CI13" s="158">
        <f>SUM(CI5:CI12)</f>
        <v>3865</v>
      </c>
      <c r="CJ13" s="158">
        <f>SUM(CJ5:CJ12)</f>
        <v>4028</v>
      </c>
      <c r="CK13" s="158">
        <f>SUM(CK5:CK12)</f>
        <v>3946</v>
      </c>
      <c r="CL13" s="158">
        <f>SUM(CL5:CL12)</f>
        <v>4024</v>
      </c>
      <c r="CM13" s="159">
        <f>SUM(CM5:CM12)</f>
        <v>15863</v>
      </c>
      <c r="CO13" s="158">
        <f>SUM(CO5:CO12)</f>
        <v>4164</v>
      </c>
      <c r="CP13" s="158">
        <f>SUM(CP5:CP12)</f>
        <v>4471</v>
      </c>
      <c r="CQ13" s="158"/>
      <c r="CR13" s="158"/>
      <c r="CS13" s="159">
        <f>SUM(CS5:CS12)</f>
        <v>8635</v>
      </c>
    </row>
    <row r="14" spans="1:251" s="164" customFormat="1" ht="8.4499999999999993" customHeight="1">
      <c r="B14" s="177"/>
      <c r="C14" s="12"/>
      <c r="D14" s="12"/>
      <c r="E14" s="12"/>
      <c r="F14" s="12"/>
      <c r="G14" s="136"/>
      <c r="H14" s="39"/>
      <c r="I14" s="12"/>
      <c r="J14" s="12"/>
      <c r="K14" s="12"/>
      <c r="L14" s="12"/>
      <c r="M14" s="136"/>
      <c r="O14" s="12"/>
      <c r="P14" s="12"/>
      <c r="Q14" s="12"/>
      <c r="R14" s="12"/>
      <c r="S14" s="136"/>
      <c r="U14" s="12"/>
      <c r="V14" s="12"/>
      <c r="W14" s="12"/>
      <c r="X14" s="12"/>
      <c r="Y14" s="136"/>
      <c r="AA14" s="12"/>
      <c r="AB14" s="12"/>
      <c r="AC14" s="12"/>
      <c r="AD14" s="12"/>
      <c r="AE14" s="136"/>
      <c r="AG14" s="12"/>
      <c r="AH14" s="12"/>
      <c r="AI14" s="12"/>
      <c r="AJ14" s="12"/>
      <c r="AK14" s="136"/>
      <c r="AM14" s="12"/>
      <c r="AN14" s="12"/>
      <c r="AO14" s="12"/>
      <c r="AP14" s="12"/>
      <c r="AQ14" s="136"/>
      <c r="AS14" s="12"/>
      <c r="AT14" s="12"/>
      <c r="AU14" s="12"/>
      <c r="AV14" s="12"/>
      <c r="AW14" s="136"/>
      <c r="AY14" s="12"/>
      <c r="AZ14" s="12"/>
      <c r="BA14" s="12"/>
      <c r="BB14" s="12"/>
      <c r="BC14" s="136"/>
      <c r="BE14" s="12"/>
      <c r="BF14" s="12"/>
      <c r="BG14" s="12"/>
      <c r="BH14" s="12"/>
      <c r="BI14" s="136"/>
      <c r="BK14" s="12"/>
      <c r="BL14" s="12"/>
      <c r="BM14" s="12"/>
      <c r="BN14" s="12"/>
      <c r="BO14" s="136"/>
      <c r="BQ14" s="12"/>
      <c r="BR14" s="12"/>
      <c r="BS14" s="12"/>
      <c r="BT14" s="12"/>
      <c r="BU14" s="136"/>
      <c r="BW14" s="12"/>
      <c r="BX14" s="12"/>
      <c r="BY14" s="12"/>
      <c r="BZ14" s="12"/>
      <c r="CA14" s="136"/>
      <c r="CC14" s="12"/>
      <c r="CD14" s="12"/>
      <c r="CE14" s="12"/>
      <c r="CF14" s="12"/>
      <c r="CG14" s="136"/>
      <c r="CI14" s="12"/>
      <c r="CJ14" s="12"/>
      <c r="CK14" s="12"/>
      <c r="CL14" s="12"/>
      <c r="CM14" s="136"/>
      <c r="CO14" s="12"/>
      <c r="CP14" s="12"/>
      <c r="CQ14" s="12"/>
      <c r="CR14" s="12"/>
      <c r="CS14" s="136"/>
    </row>
    <row r="15" spans="1:251" s="6" customFormat="1" ht="11.1" customHeight="1">
      <c r="A15" s="2" t="s">
        <v>129</v>
      </c>
      <c r="B15" s="1"/>
      <c r="C15" s="43"/>
      <c r="D15" s="43"/>
      <c r="E15" s="43"/>
      <c r="F15" s="43"/>
      <c r="G15" s="79"/>
      <c r="H15" s="8"/>
      <c r="I15" s="43"/>
      <c r="J15" s="43"/>
      <c r="K15" s="43"/>
      <c r="L15" s="43"/>
      <c r="M15" s="79"/>
      <c r="O15" s="13">
        <f>14+550</f>
        <v>564</v>
      </c>
      <c r="P15" s="13">
        <v>696</v>
      </c>
      <c r="Q15" s="13">
        <v>770</v>
      </c>
      <c r="R15" s="13">
        <v>704</v>
      </c>
      <c r="S15" s="74">
        <f>SUM(O15:R15)</f>
        <v>2734</v>
      </c>
      <c r="U15" s="43" t="s">
        <v>63</v>
      </c>
      <c r="V15" s="43" t="s">
        <v>63</v>
      </c>
      <c r="W15" s="43" t="s">
        <v>63</v>
      </c>
      <c r="X15" s="43" t="s">
        <v>63</v>
      </c>
      <c r="Y15" s="71" t="s">
        <v>63</v>
      </c>
      <c r="AA15" s="13">
        <f>13+614</f>
        <v>627</v>
      </c>
      <c r="AB15" s="13">
        <f>20+714</f>
        <v>734</v>
      </c>
      <c r="AC15" s="13">
        <f>22+801</f>
        <v>823</v>
      </c>
      <c r="AD15" s="13">
        <f>11+797</f>
        <v>808</v>
      </c>
      <c r="AE15" s="74">
        <f>SUM(AA15:AD15)</f>
        <v>2992</v>
      </c>
      <c r="AF15" s="2"/>
      <c r="AG15" s="13">
        <f>8+559</f>
        <v>567</v>
      </c>
      <c r="AH15" s="13">
        <f>8+734</f>
        <v>742</v>
      </c>
      <c r="AI15" s="13">
        <f>19+781</f>
        <v>800</v>
      </c>
      <c r="AJ15" s="13">
        <f>18+832</f>
        <v>850</v>
      </c>
      <c r="AK15" s="74">
        <f>SUM(AG15:AJ15)</f>
        <v>2959</v>
      </c>
      <c r="AL15" s="2"/>
      <c r="AM15" s="13">
        <f>18+752</f>
        <v>770</v>
      </c>
      <c r="AN15" s="13">
        <f>18+876</f>
        <v>894</v>
      </c>
      <c r="AO15" s="13">
        <f>25+840</f>
        <v>865</v>
      </c>
      <c r="AP15" s="13">
        <f>31+893</f>
        <v>924</v>
      </c>
      <c r="AQ15" s="74">
        <f>SUM(AM15:AP15)</f>
        <v>3453</v>
      </c>
      <c r="AR15" s="2"/>
      <c r="AS15" s="13">
        <f>26+1057</f>
        <v>1083</v>
      </c>
      <c r="AT15" s="13">
        <f>20+1285</f>
        <v>1305</v>
      </c>
      <c r="AU15" s="13">
        <f>33+1207</f>
        <v>1240</v>
      </c>
      <c r="AV15" s="13">
        <f>1247+22</f>
        <v>1269</v>
      </c>
      <c r="AW15" s="74">
        <f>SUM(AS15:AV15)</f>
        <v>4897</v>
      </c>
      <c r="AY15" s="13">
        <v>1189</v>
      </c>
      <c r="AZ15" s="38">
        <v>1389</v>
      </c>
      <c r="BA15" s="45">
        <v>1337</v>
      </c>
      <c r="BB15" s="13">
        <v>1296</v>
      </c>
      <c r="BC15" s="71">
        <f>SUM(AY15:BB15)</f>
        <v>5211</v>
      </c>
      <c r="BE15" s="13">
        <v>978</v>
      </c>
      <c r="BF15" s="38">
        <v>1328</v>
      </c>
      <c r="BG15" s="45">
        <v>1185</v>
      </c>
      <c r="BH15" s="46">
        <v>1155</v>
      </c>
      <c r="BI15" s="71">
        <f>SUM(BE15:BH15)</f>
        <v>4646</v>
      </c>
      <c r="BK15" s="13">
        <v>1036</v>
      </c>
      <c r="BL15" s="38">
        <v>1374</v>
      </c>
      <c r="BM15" s="45">
        <v>1526</v>
      </c>
      <c r="BN15" s="46">
        <v>1611</v>
      </c>
      <c r="BO15" s="71">
        <f>SUM(BK15:BN15)</f>
        <v>5547</v>
      </c>
      <c r="BQ15" s="13">
        <v>1268</v>
      </c>
      <c r="BR15" s="38">
        <v>1377</v>
      </c>
      <c r="BS15" s="45">
        <v>1471</v>
      </c>
      <c r="BT15" s="46">
        <v>1519</v>
      </c>
      <c r="BU15" s="71">
        <f>SUM(BQ15:BT15)</f>
        <v>5635</v>
      </c>
      <c r="BW15" s="13">
        <v>1112</v>
      </c>
      <c r="BX15" s="38">
        <v>1334</v>
      </c>
      <c r="BY15" s="45">
        <v>1467</v>
      </c>
      <c r="BZ15" s="46">
        <v>1508</v>
      </c>
      <c r="CA15" s="71">
        <f>SUM(BW15:BZ15)</f>
        <v>5421</v>
      </c>
      <c r="CC15" s="13">
        <v>1149</v>
      </c>
      <c r="CD15" s="38">
        <v>1463</v>
      </c>
      <c r="CE15" s="45">
        <v>1661</v>
      </c>
      <c r="CF15" s="46">
        <v>1744</v>
      </c>
      <c r="CG15" s="71">
        <f>SUM(CC15:CF15)</f>
        <v>6017</v>
      </c>
      <c r="CI15" s="13">
        <v>1378</v>
      </c>
      <c r="CJ15" s="38">
        <v>1506</v>
      </c>
      <c r="CK15" s="45">
        <v>1657</v>
      </c>
      <c r="CL15" s="46">
        <v>1514</v>
      </c>
      <c r="CM15" s="71">
        <f>SUM(CI15:CL15)</f>
        <v>6055</v>
      </c>
      <c r="CO15" s="13">
        <v>1614</v>
      </c>
      <c r="CP15" s="38">
        <v>1736</v>
      </c>
      <c r="CQ15" s="45"/>
      <c r="CR15" s="46"/>
      <c r="CS15" s="71">
        <f>SUM(CO15:CR15)</f>
        <v>3350</v>
      </c>
      <c r="IL15" s="44"/>
    </row>
    <row r="16" spans="1:251" s="95" customFormat="1" ht="18.75" customHeight="1">
      <c r="A16" s="95" t="s">
        <v>176</v>
      </c>
      <c r="C16" s="98"/>
      <c r="D16" s="98"/>
      <c r="E16" s="98"/>
      <c r="F16" s="98"/>
      <c r="G16" s="97"/>
      <c r="H16" s="98"/>
      <c r="I16" s="98"/>
      <c r="J16" s="98"/>
      <c r="K16" s="98"/>
      <c r="L16" s="98"/>
      <c r="M16" s="97"/>
      <c r="O16" s="98">
        <f>+O13-O6+O15</f>
        <v>1339</v>
      </c>
      <c r="P16" s="98">
        <f>+P13-P6+P15</f>
        <v>1476</v>
      </c>
      <c r="Q16" s="98">
        <f>+Q13-Q6+Q15</f>
        <v>1535</v>
      </c>
      <c r="R16" s="98">
        <f>+R13-R6+R15</f>
        <v>1490</v>
      </c>
      <c r="S16" s="97">
        <f>+S13-S6+S15</f>
        <v>5840</v>
      </c>
      <c r="U16" s="98"/>
      <c r="V16" s="98"/>
      <c r="W16" s="98"/>
      <c r="X16" s="98"/>
      <c r="Y16" s="97"/>
      <c r="AA16" s="98">
        <f>+AA13-AA6+AA15</f>
        <v>1353</v>
      </c>
      <c r="AB16" s="98">
        <f>+AB13-AB6+AB15</f>
        <v>1861</v>
      </c>
      <c r="AC16" s="98">
        <f>+AC13-AC6+AC15</f>
        <v>1993</v>
      </c>
      <c r="AD16" s="98">
        <f>+AD13-AD6+AD15</f>
        <v>1989</v>
      </c>
      <c r="AE16" s="97">
        <f>+AE13-AE6+AE15</f>
        <v>7196</v>
      </c>
      <c r="AG16" s="98">
        <f>+AG13-AG6+AG15</f>
        <v>1789</v>
      </c>
      <c r="AH16" s="98">
        <f>+AH13-AH6+AH15</f>
        <v>2164</v>
      </c>
      <c r="AI16" s="98">
        <f>+AI13-AI6+AI15</f>
        <v>2077</v>
      </c>
      <c r="AJ16" s="98">
        <f>+AJ13-AJ6+AJ15</f>
        <v>2150</v>
      </c>
      <c r="AK16" s="97">
        <f>+AK13-AK6+AK15</f>
        <v>8180</v>
      </c>
      <c r="AM16" s="98">
        <f>+AM13-AM6+AM15</f>
        <v>2149</v>
      </c>
      <c r="AN16" s="98">
        <f>+AN13-AN6+AN15</f>
        <v>2358</v>
      </c>
      <c r="AO16" s="98">
        <f>+AO13-AO6+AO15</f>
        <v>2178</v>
      </c>
      <c r="AP16" s="98">
        <f>+AP13-AP6+AP15</f>
        <v>2315</v>
      </c>
      <c r="AQ16" s="97">
        <f>+AQ13-AQ6+AQ15</f>
        <v>9000</v>
      </c>
      <c r="AS16" s="98">
        <f>+AS13-AS6+AS15</f>
        <v>2539</v>
      </c>
      <c r="AT16" s="98">
        <f>+AT13-AT6+AT15</f>
        <v>2869</v>
      </c>
      <c r="AU16" s="98">
        <f>+AU13-AU6+AU15</f>
        <v>2619</v>
      </c>
      <c r="AV16" s="98">
        <f>+AV13-AV6+AV15</f>
        <v>2771</v>
      </c>
      <c r="AW16" s="97">
        <f>+AW13-AW6+AW15</f>
        <v>10798</v>
      </c>
      <c r="AY16" s="98">
        <f>+AY13-AY6+AY15</f>
        <v>2699</v>
      </c>
      <c r="AZ16" s="98">
        <f>+AZ13-AZ6+AZ15</f>
        <v>3081</v>
      </c>
      <c r="BA16" s="98">
        <f>+BA13-BA6+BA15</f>
        <v>2814</v>
      </c>
      <c r="BB16" s="98">
        <f>+BB13-BB6+BB15</f>
        <v>2679</v>
      </c>
      <c r="BC16" s="97">
        <f>+AY16+AZ16+BA16+BB16</f>
        <v>11273</v>
      </c>
      <c r="BE16" s="98">
        <f>+BE13-BE6+BE15</f>
        <v>2343</v>
      </c>
      <c r="BF16" s="98">
        <f>+BF13-BF6+BF15</f>
        <v>2691</v>
      </c>
      <c r="BG16" s="98">
        <f>+BG13-BG6+BG15</f>
        <v>2463</v>
      </c>
      <c r="BH16" s="173">
        <f>+BH13-BH6+BH15</f>
        <v>2453</v>
      </c>
      <c r="BI16" s="97">
        <f>+BE16+BF16+BG16+BH16</f>
        <v>9950</v>
      </c>
      <c r="BK16" s="98">
        <f>+BK13-BK6+BK15</f>
        <v>2494</v>
      </c>
      <c r="BL16" s="98">
        <f>+BL13-BL6+BL15</f>
        <v>2953</v>
      </c>
      <c r="BM16" s="98">
        <f>+BM13-BM6+BM15</f>
        <v>2943</v>
      </c>
      <c r="BN16" s="173">
        <f>+BN13-BN6+BN15</f>
        <v>3088</v>
      </c>
      <c r="BO16" s="97">
        <f>+BK16+BL16+BM16+BN16</f>
        <v>11478</v>
      </c>
      <c r="BQ16" s="98">
        <f>+BQ13-BQ6+BQ15</f>
        <v>2863</v>
      </c>
      <c r="BR16" s="98">
        <f>+BR13-BR6+BR15</f>
        <v>3077</v>
      </c>
      <c r="BS16" s="98">
        <f>+BS13-BS6+BS15</f>
        <v>3027</v>
      </c>
      <c r="BT16" s="173">
        <f>+BT13-BT6+BT15</f>
        <v>3184</v>
      </c>
      <c r="BU16" s="97">
        <f>+BQ16+BR16+BS16+BT16</f>
        <v>12151</v>
      </c>
      <c r="BW16" s="98">
        <f>+BW13-BW6+BW15</f>
        <v>2806</v>
      </c>
      <c r="BX16" s="98">
        <f>+BX13-BX6+BX15</f>
        <v>3079</v>
      </c>
      <c r="BY16" s="98">
        <f>+BY13-BY6+BY15</f>
        <v>3036</v>
      </c>
      <c r="BZ16" s="173">
        <f>+BZ13-BZ6+BZ15</f>
        <v>3227</v>
      </c>
      <c r="CA16" s="97">
        <f>+BW16+BX16+BY16+BZ16</f>
        <v>12148</v>
      </c>
      <c r="CC16" s="98">
        <f>+CC13-CC6+CC15</f>
        <v>2859</v>
      </c>
      <c r="CD16" s="98">
        <f>+CD13-CD6+CD15</f>
        <v>3264</v>
      </c>
      <c r="CE16" s="98">
        <f>+CE13-CE6+CE15</f>
        <v>3282</v>
      </c>
      <c r="CF16" s="98">
        <f>+CF13-CF6+CF15</f>
        <v>3438</v>
      </c>
      <c r="CG16" s="97">
        <f>+CC16+CD16+CE16+CF16</f>
        <v>12843</v>
      </c>
      <c r="CI16" s="98">
        <f>+CI13-CI6+CI15</f>
        <v>3179</v>
      </c>
      <c r="CJ16" s="98">
        <f>+CJ13-CJ6+CJ15</f>
        <v>3337</v>
      </c>
      <c r="CK16" s="98">
        <f>+CK13-CK6+CK15</f>
        <v>3281</v>
      </c>
      <c r="CL16" s="98">
        <f>+CL13-CL6+CL15</f>
        <v>3383</v>
      </c>
      <c r="CM16" s="97">
        <f>+CI16+CJ16+CK16+CL16</f>
        <v>13180</v>
      </c>
      <c r="CO16" s="98">
        <f>+CO13-CO6+CO15</f>
        <v>3475</v>
      </c>
      <c r="CP16" s="98">
        <f>+CP13-CP6+CP15</f>
        <v>3684</v>
      </c>
      <c r="CQ16" s="98"/>
      <c r="CR16" s="98"/>
      <c r="CS16" s="97">
        <f>+CO16+CP16+CQ16+CR16</f>
        <v>7159</v>
      </c>
      <c r="IQ16" s="98" t="s">
        <v>63</v>
      </c>
    </row>
    <row r="17" spans="1:97" s="177" customFormat="1" ht="18.75" customHeight="1">
      <c r="C17" s="39"/>
      <c r="D17" s="39"/>
      <c r="E17" s="39"/>
      <c r="F17" s="39"/>
      <c r="G17" s="136"/>
      <c r="H17" s="39"/>
      <c r="I17" s="39"/>
      <c r="J17" s="39"/>
      <c r="K17" s="39"/>
      <c r="L17" s="39"/>
      <c r="M17" s="136"/>
      <c r="O17" s="39"/>
      <c r="P17" s="39"/>
      <c r="Q17" s="39"/>
      <c r="R17" s="39"/>
      <c r="S17" s="136"/>
      <c r="U17" s="39"/>
      <c r="V17" s="39"/>
      <c r="W17" s="39"/>
      <c r="X17" s="39"/>
      <c r="Y17" s="136"/>
      <c r="AA17" s="39"/>
      <c r="AB17" s="39"/>
      <c r="AC17" s="39"/>
      <c r="AD17" s="39"/>
      <c r="AE17" s="136"/>
      <c r="AG17" s="39"/>
      <c r="AH17" s="39"/>
      <c r="AI17" s="39"/>
      <c r="AJ17" s="39"/>
      <c r="AK17" s="136"/>
      <c r="AM17" s="39"/>
      <c r="AN17" s="39"/>
      <c r="AO17" s="39"/>
      <c r="AP17" s="39"/>
      <c r="AQ17" s="136"/>
      <c r="AS17" s="39"/>
      <c r="AT17" s="39"/>
      <c r="AU17" s="39"/>
      <c r="AV17" s="39"/>
      <c r="AW17" s="136"/>
      <c r="AY17" s="39"/>
      <c r="AZ17" s="39"/>
      <c r="BA17" s="39"/>
      <c r="BB17" s="39"/>
      <c r="BC17" s="136"/>
      <c r="BE17" s="39"/>
      <c r="BF17" s="39"/>
      <c r="BG17" s="39"/>
      <c r="BH17" s="180"/>
      <c r="BI17" s="136"/>
      <c r="BK17" s="39"/>
      <c r="BL17" s="39"/>
      <c r="BM17" s="39"/>
      <c r="BN17" s="180"/>
      <c r="BO17" s="136"/>
      <c r="BQ17" s="39"/>
      <c r="BR17" s="39"/>
      <c r="BS17" s="39"/>
      <c r="BT17" s="180"/>
      <c r="BU17" s="136"/>
      <c r="BW17" s="39"/>
      <c r="BX17" s="39"/>
      <c r="BY17" s="39"/>
      <c r="BZ17" s="180"/>
      <c r="CA17" s="136"/>
      <c r="CC17" s="39"/>
      <c r="CD17" s="39"/>
      <c r="CE17" s="39"/>
      <c r="CF17" s="180"/>
      <c r="CG17" s="136"/>
      <c r="CI17" s="39"/>
      <c r="CJ17" s="39"/>
      <c r="CK17" s="39"/>
      <c r="CL17" s="180"/>
      <c r="CM17" s="136"/>
      <c r="CO17" s="39"/>
      <c r="CP17" s="39"/>
      <c r="CQ17" s="39"/>
      <c r="CR17" s="180"/>
      <c r="CS17" s="136"/>
    </row>
    <row r="18" spans="1:97">
      <c r="A18" s="6" t="s">
        <v>182</v>
      </c>
      <c r="C18" s="9"/>
      <c r="D18" s="9"/>
      <c r="E18" s="9"/>
      <c r="F18" s="9"/>
      <c r="G18" s="71"/>
      <c r="H18" s="8"/>
      <c r="I18" s="9"/>
      <c r="J18" s="9"/>
      <c r="K18" s="9"/>
      <c r="L18" s="9"/>
      <c r="M18" s="71"/>
      <c r="O18" s="9"/>
      <c r="P18" s="9"/>
      <c r="Q18" s="9"/>
      <c r="R18" s="9"/>
      <c r="S18" s="71"/>
      <c r="U18" s="9"/>
      <c r="V18" s="9"/>
      <c r="W18" s="9"/>
      <c r="X18" s="9"/>
      <c r="Y18" s="71"/>
      <c r="AA18" s="9"/>
      <c r="AB18" s="9"/>
      <c r="AC18" s="9"/>
      <c r="AD18" s="9"/>
      <c r="AE18" s="71"/>
      <c r="AG18" s="9"/>
      <c r="AH18" s="9"/>
      <c r="AI18" s="9"/>
      <c r="AJ18" s="9"/>
      <c r="AK18" s="71"/>
      <c r="AM18" s="9"/>
      <c r="AN18" s="9"/>
      <c r="AO18" s="9"/>
      <c r="AP18" s="9"/>
      <c r="AQ18" s="71"/>
      <c r="AS18" s="9"/>
      <c r="AT18" s="9"/>
      <c r="AU18" s="9"/>
      <c r="AV18" s="9"/>
      <c r="AW18" s="71"/>
      <c r="AY18" s="9"/>
      <c r="AZ18" s="9"/>
      <c r="BA18" s="9"/>
      <c r="BB18" s="9"/>
      <c r="BC18" s="71"/>
      <c r="BE18" s="9"/>
      <c r="BF18" s="9"/>
      <c r="BG18" s="9"/>
      <c r="BH18" s="27"/>
      <c r="BI18" s="71"/>
      <c r="BK18" s="9"/>
      <c r="BL18" s="9"/>
      <c r="BM18" s="9"/>
      <c r="BN18" s="27"/>
      <c r="BO18" s="71"/>
      <c r="BQ18" s="9"/>
      <c r="BR18" s="9"/>
      <c r="BS18" s="9"/>
      <c r="BT18" s="27"/>
      <c r="BU18" s="71"/>
      <c r="BW18" s="9"/>
      <c r="BX18" s="9"/>
      <c r="BY18" s="9"/>
      <c r="BZ18" s="27"/>
      <c r="CA18" s="71"/>
      <c r="CC18" s="9"/>
      <c r="CD18" s="9"/>
      <c r="CE18" s="9"/>
      <c r="CF18" s="27"/>
      <c r="CG18" s="71"/>
      <c r="CI18" s="9"/>
      <c r="CJ18" s="9"/>
      <c r="CK18" s="9"/>
      <c r="CL18" s="27"/>
      <c r="CM18" s="71"/>
      <c r="CO18" s="9"/>
      <c r="CP18" s="9"/>
      <c r="CQ18" s="9"/>
      <c r="CR18" s="27"/>
      <c r="CS18" s="71"/>
    </row>
    <row r="19" spans="1:97">
      <c r="A19" s="2" t="s">
        <v>130</v>
      </c>
      <c r="C19" s="9"/>
      <c r="D19" s="9"/>
      <c r="E19" s="9"/>
      <c r="F19" s="9"/>
      <c r="G19" s="71"/>
      <c r="H19" s="8"/>
      <c r="I19" s="9"/>
      <c r="J19" s="9"/>
      <c r="K19" s="9"/>
      <c r="L19" s="9"/>
      <c r="M19" s="71"/>
      <c r="O19" s="9"/>
      <c r="P19" s="9"/>
      <c r="Q19" s="9"/>
      <c r="R19" s="9"/>
      <c r="S19" s="71"/>
      <c r="U19" s="9"/>
      <c r="V19" s="9"/>
      <c r="W19" s="9"/>
      <c r="X19" s="9"/>
      <c r="Y19" s="71"/>
      <c r="AA19" s="9"/>
      <c r="AB19" s="9"/>
      <c r="AC19" s="9"/>
      <c r="AD19" s="9"/>
      <c r="AE19" s="71"/>
      <c r="AG19" s="9"/>
      <c r="AH19" s="9"/>
      <c r="AI19" s="9"/>
      <c r="AJ19" s="9"/>
      <c r="AK19" s="71"/>
      <c r="AM19" s="9"/>
      <c r="AN19" s="9"/>
      <c r="AO19" s="9"/>
      <c r="AP19" s="9"/>
      <c r="AQ19" s="71"/>
      <c r="AS19" s="9"/>
      <c r="AT19" s="9"/>
      <c r="AU19" s="9"/>
      <c r="AV19" s="9"/>
      <c r="AW19" s="71"/>
      <c r="AY19" s="9"/>
      <c r="AZ19" s="9"/>
      <c r="BA19" s="9"/>
      <c r="BB19" s="9"/>
      <c r="BC19" s="71"/>
      <c r="BE19" s="9"/>
      <c r="BF19" s="9"/>
      <c r="BG19" s="9"/>
      <c r="BH19" s="27"/>
      <c r="BI19" s="71"/>
      <c r="BK19" s="9">
        <v>59</v>
      </c>
      <c r="BL19" s="9">
        <v>82</v>
      </c>
      <c r="BM19" s="9">
        <v>142</v>
      </c>
      <c r="BN19" s="27">
        <v>46</v>
      </c>
      <c r="BO19" s="71">
        <f>SUM(BK19:BN19)</f>
        <v>329</v>
      </c>
      <c r="BQ19" s="9">
        <v>28</v>
      </c>
      <c r="BR19" s="9">
        <v>9</v>
      </c>
      <c r="BS19" s="9">
        <v>72</v>
      </c>
      <c r="BT19" s="27">
        <v>73</v>
      </c>
      <c r="BU19" s="71">
        <f>SUM(BQ19:BT19)</f>
        <v>182</v>
      </c>
      <c r="BW19" s="9">
        <v>40</v>
      </c>
      <c r="BX19" s="9">
        <v>45</v>
      </c>
      <c r="BY19" s="9">
        <v>102</v>
      </c>
      <c r="BZ19" s="27">
        <v>103</v>
      </c>
      <c r="CA19" s="71">
        <f>SUM(BW19:BZ19)</f>
        <v>290</v>
      </c>
      <c r="CC19" s="9">
        <v>43</v>
      </c>
      <c r="CD19" s="9">
        <v>70</v>
      </c>
      <c r="CE19" s="9">
        <v>103</v>
      </c>
      <c r="CF19" s="27">
        <v>119</v>
      </c>
      <c r="CG19" s="71">
        <f>SUM(CC19:CF19)</f>
        <v>335</v>
      </c>
      <c r="CI19" s="9">
        <v>49</v>
      </c>
      <c r="CJ19" s="9">
        <v>115</v>
      </c>
      <c r="CK19" s="9">
        <v>135</v>
      </c>
      <c r="CL19" s="27">
        <v>185</v>
      </c>
      <c r="CM19" s="71">
        <f>SUM(CI19:CL19)</f>
        <v>484</v>
      </c>
      <c r="CO19" s="9">
        <v>108</v>
      </c>
      <c r="CP19" s="9">
        <v>243</v>
      </c>
      <c r="CQ19" s="9"/>
      <c r="CR19" s="27"/>
      <c r="CS19" s="71">
        <f>SUM(CO19:CR19)</f>
        <v>351</v>
      </c>
    </row>
    <row r="20" spans="1:97">
      <c r="A20" s="2" t="s">
        <v>187</v>
      </c>
      <c r="C20" s="9"/>
      <c r="D20" s="9"/>
      <c r="E20" s="9"/>
      <c r="F20" s="9"/>
      <c r="G20" s="71"/>
      <c r="H20" s="8"/>
      <c r="I20" s="9"/>
      <c r="J20" s="9"/>
      <c r="K20" s="9"/>
      <c r="L20" s="9"/>
      <c r="M20" s="71"/>
      <c r="O20" s="9"/>
      <c r="P20" s="9"/>
      <c r="Q20" s="9"/>
      <c r="R20" s="9"/>
      <c r="S20" s="71"/>
      <c r="U20" s="9"/>
      <c r="V20" s="9"/>
      <c r="W20" s="9"/>
      <c r="X20" s="9"/>
      <c r="Y20" s="71"/>
      <c r="AA20" s="9"/>
      <c r="AB20" s="9"/>
      <c r="AC20" s="9"/>
      <c r="AD20" s="9"/>
      <c r="AE20" s="71"/>
      <c r="AG20" s="9"/>
      <c r="AH20" s="9"/>
      <c r="AI20" s="9"/>
      <c r="AJ20" s="9"/>
      <c r="AK20" s="71"/>
      <c r="AM20" s="9"/>
      <c r="AN20" s="9"/>
      <c r="AO20" s="9"/>
      <c r="AP20" s="9"/>
      <c r="AQ20" s="71"/>
      <c r="AS20" s="9"/>
      <c r="AT20" s="9"/>
      <c r="AU20" s="9"/>
      <c r="AV20" s="9"/>
      <c r="AW20" s="71"/>
      <c r="AY20" s="9"/>
      <c r="AZ20" s="9"/>
      <c r="BA20" s="9"/>
      <c r="BB20" s="9"/>
      <c r="BC20" s="71"/>
      <c r="BE20" s="9"/>
      <c r="BF20" s="9"/>
      <c r="BG20" s="9"/>
      <c r="BH20" s="27"/>
      <c r="BI20" s="71"/>
      <c r="BK20" s="9">
        <v>172</v>
      </c>
      <c r="BL20" s="9">
        <v>190</v>
      </c>
      <c r="BM20" s="9">
        <v>130</v>
      </c>
      <c r="BN20" s="27">
        <v>120</v>
      </c>
      <c r="BO20" s="71">
        <f t="shared" ref="BO20:BO23" si="16">SUM(BK20:BN20)</f>
        <v>612</v>
      </c>
      <c r="BQ20" s="9">
        <v>181</v>
      </c>
      <c r="BR20" s="9">
        <v>200</v>
      </c>
      <c r="BS20" s="9">
        <v>161</v>
      </c>
      <c r="BT20" s="27">
        <v>190</v>
      </c>
      <c r="BU20" s="71">
        <f t="shared" ref="BU20:BU23" si="17">SUM(BQ20:BT20)</f>
        <v>732</v>
      </c>
      <c r="BW20" s="9">
        <v>196</v>
      </c>
      <c r="BX20" s="9">
        <v>208</v>
      </c>
      <c r="BY20" s="9">
        <v>158</v>
      </c>
      <c r="BZ20" s="27">
        <v>213</v>
      </c>
      <c r="CA20" s="71">
        <f t="shared" ref="CA20:CA23" si="18">SUM(BW20:BZ20)</f>
        <v>775</v>
      </c>
      <c r="CC20" s="9">
        <v>188</v>
      </c>
      <c r="CD20" s="9">
        <v>224</v>
      </c>
      <c r="CE20" s="9">
        <v>156</v>
      </c>
      <c r="CF20" s="27">
        <v>210</v>
      </c>
      <c r="CG20" s="71">
        <f t="shared" ref="CG20:CG23" si="19">SUM(CC20:CF20)</f>
        <v>778</v>
      </c>
      <c r="CI20" s="9">
        <v>213</v>
      </c>
      <c r="CJ20" s="9">
        <v>218</v>
      </c>
      <c r="CK20" s="9">
        <v>141</v>
      </c>
      <c r="CL20" s="27">
        <v>227</v>
      </c>
      <c r="CM20" s="71">
        <f t="shared" ref="CM20:CM23" si="20">SUM(CI20:CL20)</f>
        <v>799</v>
      </c>
      <c r="CO20" s="9">
        <v>182</v>
      </c>
      <c r="CP20" s="9">
        <v>214</v>
      </c>
      <c r="CQ20" s="9"/>
      <c r="CR20" s="27"/>
      <c r="CS20" s="71">
        <f t="shared" ref="CS20:CS23" si="21">SUM(CO20:CR20)</f>
        <v>396</v>
      </c>
    </row>
    <row r="21" spans="1:97">
      <c r="A21" s="2" t="s">
        <v>148</v>
      </c>
      <c r="C21" s="9"/>
      <c r="D21" s="9"/>
      <c r="E21" s="9"/>
      <c r="F21" s="9"/>
      <c r="G21" s="71"/>
      <c r="H21" s="8"/>
      <c r="I21" s="9"/>
      <c r="J21" s="9"/>
      <c r="K21" s="9"/>
      <c r="L21" s="9"/>
      <c r="M21" s="71"/>
      <c r="O21" s="9"/>
      <c r="P21" s="9"/>
      <c r="Q21" s="9"/>
      <c r="R21" s="9"/>
      <c r="S21" s="71"/>
      <c r="U21" s="9"/>
      <c r="V21" s="9"/>
      <c r="W21" s="9"/>
      <c r="X21" s="9"/>
      <c r="Y21" s="71"/>
      <c r="AA21" s="9"/>
      <c r="AB21" s="9"/>
      <c r="AC21" s="9"/>
      <c r="AD21" s="9"/>
      <c r="AE21" s="71"/>
      <c r="AG21" s="9"/>
      <c r="AH21" s="9"/>
      <c r="AI21" s="9"/>
      <c r="AJ21" s="9"/>
      <c r="AK21" s="71"/>
      <c r="AM21" s="9"/>
      <c r="AN21" s="9"/>
      <c r="AO21" s="9"/>
      <c r="AP21" s="9"/>
      <c r="AQ21" s="71"/>
      <c r="AS21" s="9"/>
      <c r="AT21" s="9"/>
      <c r="AU21" s="9"/>
      <c r="AV21" s="9"/>
      <c r="AW21" s="71"/>
      <c r="AY21" s="9"/>
      <c r="AZ21" s="9"/>
      <c r="BA21" s="9"/>
      <c r="BB21" s="9"/>
      <c r="BC21" s="71"/>
      <c r="BE21" s="9"/>
      <c r="BF21" s="9"/>
      <c r="BG21" s="9"/>
      <c r="BH21" s="27"/>
      <c r="BI21" s="71"/>
      <c r="BK21" s="9">
        <v>17</v>
      </c>
      <c r="BL21" s="9">
        <v>23</v>
      </c>
      <c r="BM21" s="9">
        <v>17</v>
      </c>
      <c r="BN21" s="27">
        <v>33</v>
      </c>
      <c r="BO21" s="71">
        <f t="shared" si="16"/>
        <v>90</v>
      </c>
      <c r="BQ21" s="9">
        <v>28</v>
      </c>
      <c r="BR21" s="9">
        <v>21</v>
      </c>
      <c r="BS21" s="9">
        <v>89</v>
      </c>
      <c r="BT21" s="27">
        <v>20</v>
      </c>
      <c r="BU21" s="71">
        <f t="shared" si="17"/>
        <v>158</v>
      </c>
      <c r="BW21" s="9"/>
      <c r="BX21" s="9"/>
      <c r="BY21" s="9"/>
      <c r="BZ21" s="27"/>
      <c r="CA21" s="71">
        <f t="shared" si="18"/>
        <v>0</v>
      </c>
      <c r="CC21" s="9"/>
      <c r="CD21" s="9"/>
      <c r="CE21" s="9"/>
      <c r="CF21" s="27"/>
      <c r="CG21" s="71">
        <f t="shared" si="19"/>
        <v>0</v>
      </c>
      <c r="CI21" s="9"/>
      <c r="CJ21" s="9"/>
      <c r="CK21" s="9"/>
      <c r="CL21" s="27"/>
      <c r="CM21" s="71">
        <f t="shared" si="20"/>
        <v>0</v>
      </c>
      <c r="CO21" s="9"/>
      <c r="CP21" s="9"/>
      <c r="CQ21" s="9"/>
      <c r="CR21" s="27"/>
      <c r="CS21" s="71">
        <f t="shared" si="21"/>
        <v>0</v>
      </c>
    </row>
    <row r="22" spans="1:97">
      <c r="A22" s="2" t="s">
        <v>128</v>
      </c>
      <c r="C22" s="9"/>
      <c r="D22" s="9"/>
      <c r="E22" s="9"/>
      <c r="F22" s="9"/>
      <c r="G22" s="71"/>
      <c r="H22" s="8"/>
      <c r="I22" s="9"/>
      <c r="J22" s="9"/>
      <c r="K22" s="9"/>
      <c r="L22" s="9"/>
      <c r="M22" s="71"/>
      <c r="O22" s="9"/>
      <c r="P22" s="9"/>
      <c r="Q22" s="9"/>
      <c r="R22" s="9"/>
      <c r="S22" s="71"/>
      <c r="U22" s="9"/>
      <c r="V22" s="9"/>
      <c r="W22" s="9"/>
      <c r="X22" s="9"/>
      <c r="Y22" s="71"/>
      <c r="AA22" s="9"/>
      <c r="AB22" s="9"/>
      <c r="AC22" s="9"/>
      <c r="AD22" s="9"/>
      <c r="AE22" s="71"/>
      <c r="AG22" s="9"/>
      <c r="AH22" s="9"/>
      <c r="AI22" s="9"/>
      <c r="AJ22" s="9"/>
      <c r="AK22" s="71"/>
      <c r="AM22" s="9"/>
      <c r="AN22" s="9"/>
      <c r="AO22" s="9"/>
      <c r="AP22" s="9"/>
      <c r="AQ22" s="71"/>
      <c r="AS22" s="9"/>
      <c r="AT22" s="9"/>
      <c r="AU22" s="9"/>
      <c r="AV22" s="9"/>
      <c r="AW22" s="71"/>
      <c r="AY22" s="9"/>
      <c r="AZ22" s="9"/>
      <c r="BA22" s="9"/>
      <c r="BB22" s="9"/>
      <c r="BC22" s="71"/>
      <c r="BE22" s="9"/>
      <c r="BF22" s="9"/>
      <c r="BG22" s="9"/>
      <c r="BH22" s="27"/>
      <c r="BI22" s="71"/>
      <c r="BK22" s="9">
        <v>-6</v>
      </c>
      <c r="BL22" s="9">
        <v>-5</v>
      </c>
      <c r="BM22" s="9">
        <v>-2</v>
      </c>
      <c r="BN22" s="27">
        <v>2</v>
      </c>
      <c r="BO22" s="71">
        <f t="shared" si="16"/>
        <v>-11</v>
      </c>
      <c r="BQ22" s="9">
        <v>-8</v>
      </c>
      <c r="BR22" s="9">
        <v>-1</v>
      </c>
      <c r="BS22" s="9">
        <v>3</v>
      </c>
      <c r="BT22" s="27">
        <v>7</v>
      </c>
      <c r="BU22" s="71">
        <f t="shared" si="17"/>
        <v>1</v>
      </c>
      <c r="BW22" s="9">
        <v>-1</v>
      </c>
      <c r="BX22" s="9">
        <v>-4</v>
      </c>
      <c r="BY22" s="9">
        <v>-1</v>
      </c>
      <c r="BZ22" s="27">
        <v>15</v>
      </c>
      <c r="CA22" s="71">
        <f t="shared" si="18"/>
        <v>9</v>
      </c>
      <c r="CC22" s="9">
        <v>-5</v>
      </c>
      <c r="CD22" s="9">
        <v>-1</v>
      </c>
      <c r="CE22" s="9">
        <v>2</v>
      </c>
      <c r="CF22" s="27">
        <v>10</v>
      </c>
      <c r="CG22" s="71">
        <f t="shared" si="19"/>
        <v>6</v>
      </c>
      <c r="CI22" s="9">
        <v>0</v>
      </c>
      <c r="CJ22" s="9">
        <v>-2</v>
      </c>
      <c r="CK22" s="9">
        <v>1</v>
      </c>
      <c r="CL22" s="27">
        <v>22</v>
      </c>
      <c r="CM22" s="71">
        <f t="shared" si="20"/>
        <v>21</v>
      </c>
      <c r="CO22" s="9">
        <v>-1</v>
      </c>
      <c r="CP22" s="9">
        <v>-8</v>
      </c>
      <c r="CQ22" s="9"/>
      <c r="CR22" s="27"/>
      <c r="CS22" s="71">
        <f t="shared" si="21"/>
        <v>-9</v>
      </c>
    </row>
    <row r="23" spans="1:97">
      <c r="A23" s="2" t="s">
        <v>96</v>
      </c>
      <c r="C23" s="9"/>
      <c r="D23" s="9"/>
      <c r="E23" s="9"/>
      <c r="F23" s="9"/>
      <c r="G23" s="71"/>
      <c r="H23" s="8"/>
      <c r="I23" s="9"/>
      <c r="J23" s="9"/>
      <c r="K23" s="9"/>
      <c r="L23" s="9"/>
      <c r="M23" s="71"/>
      <c r="O23" s="9"/>
      <c r="P23" s="9"/>
      <c r="Q23" s="9"/>
      <c r="R23" s="9"/>
      <c r="S23" s="71"/>
      <c r="U23" s="9"/>
      <c r="V23" s="9"/>
      <c r="W23" s="9"/>
      <c r="X23" s="9"/>
      <c r="Y23" s="71"/>
      <c r="AA23" s="9"/>
      <c r="AB23" s="9"/>
      <c r="AC23" s="9"/>
      <c r="AD23" s="9"/>
      <c r="AE23" s="71"/>
      <c r="AG23" s="9"/>
      <c r="AH23" s="9"/>
      <c r="AI23" s="9"/>
      <c r="AJ23" s="9"/>
      <c r="AK23" s="71"/>
      <c r="AM23" s="9"/>
      <c r="AN23" s="9"/>
      <c r="AO23" s="9"/>
      <c r="AP23" s="9"/>
      <c r="AQ23" s="71"/>
      <c r="AS23" s="9"/>
      <c r="AT23" s="9"/>
      <c r="AU23" s="9"/>
      <c r="AV23" s="9"/>
      <c r="AW23" s="71"/>
      <c r="AY23" s="9"/>
      <c r="AZ23" s="9"/>
      <c r="BA23" s="9"/>
      <c r="BB23" s="9"/>
      <c r="BC23" s="71"/>
      <c r="BE23" s="9"/>
      <c r="BF23" s="9"/>
      <c r="BG23" s="9"/>
      <c r="BH23" s="27"/>
      <c r="BI23" s="71"/>
      <c r="BK23" s="9">
        <v>-7</v>
      </c>
      <c r="BL23" s="9">
        <v>-8</v>
      </c>
      <c r="BM23" s="9">
        <v>-10</v>
      </c>
      <c r="BN23" s="27">
        <v>-8</v>
      </c>
      <c r="BO23" s="71">
        <f t="shared" si="16"/>
        <v>-33</v>
      </c>
      <c r="BQ23" s="9">
        <v>-8</v>
      </c>
      <c r="BR23" s="9">
        <v>-11</v>
      </c>
      <c r="BS23" s="9">
        <v>-9</v>
      </c>
      <c r="BT23" s="27">
        <v>-9</v>
      </c>
      <c r="BU23" s="71">
        <f t="shared" si="17"/>
        <v>-37</v>
      </c>
      <c r="BW23" s="9">
        <v>-6</v>
      </c>
      <c r="BX23" s="9">
        <v>-11</v>
      </c>
      <c r="BY23" s="9">
        <v>-8</v>
      </c>
      <c r="BZ23" s="27">
        <v>-10</v>
      </c>
      <c r="CA23" s="71">
        <f t="shared" si="18"/>
        <v>-35</v>
      </c>
      <c r="CC23" s="9">
        <v>-9</v>
      </c>
      <c r="CD23" s="9">
        <v>-13</v>
      </c>
      <c r="CE23" s="9">
        <v>-5</v>
      </c>
      <c r="CF23" s="27">
        <v>-7</v>
      </c>
      <c r="CG23" s="71">
        <f t="shared" si="19"/>
        <v>-34</v>
      </c>
      <c r="CI23" s="9">
        <v>-8</v>
      </c>
      <c r="CJ23" s="9">
        <v>-8</v>
      </c>
      <c r="CK23" s="9">
        <v>-6</v>
      </c>
      <c r="CL23" s="27">
        <v>-13</v>
      </c>
      <c r="CM23" s="71">
        <f t="shared" si="20"/>
        <v>-35</v>
      </c>
      <c r="CO23" s="9">
        <v>-6</v>
      </c>
      <c r="CP23" s="9">
        <v>-8</v>
      </c>
      <c r="CQ23" s="9"/>
      <c r="CR23" s="27"/>
      <c r="CS23" s="71">
        <f t="shared" si="21"/>
        <v>-14</v>
      </c>
    </row>
    <row r="24" spans="1:97" s="121" customFormat="1">
      <c r="A24" s="94"/>
      <c r="B24" s="122"/>
      <c r="C24" s="103"/>
      <c r="D24" s="103"/>
      <c r="E24" s="103"/>
      <c r="F24" s="103"/>
      <c r="G24" s="97"/>
      <c r="H24" s="98"/>
      <c r="I24" s="103"/>
      <c r="J24" s="103"/>
      <c r="K24" s="103"/>
      <c r="L24" s="103"/>
      <c r="M24" s="97"/>
      <c r="O24" s="103"/>
      <c r="P24" s="103"/>
      <c r="Q24" s="103"/>
      <c r="R24" s="103"/>
      <c r="S24" s="97"/>
      <c r="U24" s="103"/>
      <c r="V24" s="103"/>
      <c r="W24" s="103"/>
      <c r="X24" s="103"/>
      <c r="Y24" s="97"/>
      <c r="AA24" s="103"/>
      <c r="AB24" s="103"/>
      <c r="AC24" s="103"/>
      <c r="AD24" s="103"/>
      <c r="AE24" s="97"/>
      <c r="AG24" s="103"/>
      <c r="AH24" s="103"/>
      <c r="AI24" s="103"/>
      <c r="AJ24" s="103"/>
      <c r="AK24" s="97"/>
      <c r="AM24" s="103"/>
      <c r="AN24" s="103"/>
      <c r="AO24" s="103"/>
      <c r="AP24" s="103"/>
      <c r="AQ24" s="97"/>
      <c r="AS24" s="103"/>
      <c r="AT24" s="103"/>
      <c r="AU24" s="103"/>
      <c r="AV24" s="103"/>
      <c r="AW24" s="97"/>
      <c r="AY24" s="103"/>
      <c r="AZ24" s="103"/>
      <c r="BA24" s="103"/>
      <c r="BB24" s="103"/>
      <c r="BC24" s="97"/>
      <c r="BE24" s="103"/>
      <c r="BF24" s="103"/>
      <c r="BG24" s="103"/>
      <c r="BH24" s="186"/>
      <c r="BI24" s="97"/>
      <c r="BK24" s="96">
        <f>SUM(BK18:BK23)</f>
        <v>235</v>
      </c>
      <c r="BL24" s="96">
        <f>SUM(BL18:BL23)</f>
        <v>282</v>
      </c>
      <c r="BM24" s="96">
        <f>SUM(BM18:BM23)</f>
        <v>277</v>
      </c>
      <c r="BN24" s="96">
        <f>SUM(BN18:BN23)</f>
        <v>193</v>
      </c>
      <c r="BO24" s="97">
        <f>SUM(BO18:BO23)</f>
        <v>987</v>
      </c>
      <c r="BQ24" s="96">
        <f>SUM(BQ18:BQ23)</f>
        <v>221</v>
      </c>
      <c r="BR24" s="96">
        <f>SUM(BR18:BR23)</f>
        <v>218</v>
      </c>
      <c r="BS24" s="96">
        <f>SUM(BS18:BS23)</f>
        <v>316</v>
      </c>
      <c r="BT24" s="96">
        <f>SUM(BT18:BT23)</f>
        <v>281</v>
      </c>
      <c r="BU24" s="97">
        <f>SUM(BU18:BU23)</f>
        <v>1036</v>
      </c>
      <c r="BW24" s="96">
        <f>SUM(BW18:BW23)</f>
        <v>229</v>
      </c>
      <c r="BX24" s="96">
        <f>SUM(BX18:BX23)</f>
        <v>238</v>
      </c>
      <c r="BY24" s="96">
        <f>SUM(BY18:BY23)</f>
        <v>251</v>
      </c>
      <c r="BZ24" s="96">
        <f>SUM(BZ18:BZ23)</f>
        <v>321</v>
      </c>
      <c r="CA24" s="97">
        <f>SUM(CA18:CA23)</f>
        <v>1039</v>
      </c>
      <c r="CC24" s="96">
        <f>SUM(CC18:CC23)</f>
        <v>217</v>
      </c>
      <c r="CD24" s="96">
        <f>SUM(CD18:CD23)</f>
        <v>280</v>
      </c>
      <c r="CE24" s="96">
        <f>SUM(CE18:CE23)</f>
        <v>256</v>
      </c>
      <c r="CF24" s="96">
        <f>SUM(CF18:CF23)</f>
        <v>332</v>
      </c>
      <c r="CG24" s="97">
        <f>SUM(CG18:CG23)</f>
        <v>1085</v>
      </c>
      <c r="CI24" s="96">
        <f>SUM(CI18:CI23)</f>
        <v>254</v>
      </c>
      <c r="CJ24" s="96">
        <f>SUM(CJ18:CJ23)</f>
        <v>323</v>
      </c>
      <c r="CK24" s="96">
        <f>SUM(CK18:CK23)</f>
        <v>271</v>
      </c>
      <c r="CL24" s="96">
        <f>SUM(CL18:CL23)</f>
        <v>421</v>
      </c>
      <c r="CM24" s="97">
        <f>SUM(CM18:CM23)</f>
        <v>1269</v>
      </c>
      <c r="CO24" s="96">
        <f>SUM(CO18:CO23)</f>
        <v>283</v>
      </c>
      <c r="CP24" s="96">
        <f>SUM(CP18:CP23)</f>
        <v>441</v>
      </c>
      <c r="CQ24" s="96"/>
      <c r="CR24" s="96"/>
      <c r="CS24" s="97">
        <f>SUM(CS18:CS23)</f>
        <v>724</v>
      </c>
    </row>
    <row r="25" spans="1:97" s="160" customFormat="1" ht="18.75" customHeight="1">
      <c r="A25" s="164" t="s">
        <v>178</v>
      </c>
      <c r="B25" s="161"/>
      <c r="C25" s="162"/>
      <c r="D25" s="162"/>
      <c r="E25" s="162"/>
      <c r="F25" s="162"/>
      <c r="G25" s="136"/>
      <c r="H25" s="39"/>
      <c r="I25" s="162"/>
      <c r="J25" s="162"/>
      <c r="K25" s="162"/>
      <c r="L25" s="162"/>
      <c r="M25" s="136"/>
      <c r="O25" s="162"/>
      <c r="P25" s="162"/>
      <c r="Q25" s="162"/>
      <c r="R25" s="162"/>
      <c r="S25" s="136"/>
      <c r="U25" s="162"/>
      <c r="V25" s="162"/>
      <c r="W25" s="162"/>
      <c r="X25" s="162"/>
      <c r="Y25" s="136"/>
      <c r="AA25" s="162"/>
      <c r="AB25" s="162"/>
      <c r="AC25" s="162"/>
      <c r="AD25" s="162"/>
      <c r="AE25" s="136"/>
      <c r="AG25" s="162"/>
      <c r="AH25" s="162"/>
      <c r="AI25" s="162"/>
      <c r="AJ25" s="162"/>
      <c r="AK25" s="136"/>
      <c r="AM25" s="162"/>
      <c r="AN25" s="162"/>
      <c r="AO25" s="162"/>
      <c r="AP25" s="162"/>
      <c r="AQ25" s="136"/>
      <c r="AS25" s="162"/>
      <c r="AT25" s="162"/>
      <c r="AU25" s="162"/>
      <c r="AV25" s="162"/>
      <c r="AW25" s="136"/>
      <c r="AY25" s="162"/>
      <c r="AZ25" s="162"/>
      <c r="BA25" s="162"/>
      <c r="BB25" s="162"/>
      <c r="BC25" s="136"/>
      <c r="BE25" s="162"/>
      <c r="BF25" s="162"/>
      <c r="BG25" s="162"/>
      <c r="BH25" s="176"/>
      <c r="BI25" s="136"/>
      <c r="BK25" s="178">
        <f>+BK24/BK16</f>
        <v>9.4226142742582203E-2</v>
      </c>
      <c r="BL25" s="178">
        <f t="shared" ref="BL25:BO25" si="22">+BL24/BL16</f>
        <v>9.5496105655265826E-2</v>
      </c>
      <c r="BM25" s="178">
        <f t="shared" si="22"/>
        <v>9.4121644580360181E-2</v>
      </c>
      <c r="BN25" s="178">
        <f t="shared" si="22"/>
        <v>6.25E-2</v>
      </c>
      <c r="BO25" s="179">
        <f t="shared" si="22"/>
        <v>8.5990590695243077E-2</v>
      </c>
      <c r="BQ25" s="178">
        <f>+BQ24/BQ16</f>
        <v>7.719175689835836E-2</v>
      </c>
      <c r="BR25" s="178">
        <f t="shared" ref="BR25" si="23">+BR24/BR16</f>
        <v>7.0848228794280141E-2</v>
      </c>
      <c r="BS25" s="178">
        <f t="shared" ref="BS25" si="24">+BS24/BS16</f>
        <v>0.10439378923026098</v>
      </c>
      <c r="BT25" s="178">
        <f t="shared" ref="BT25" si="25">+BT24/BT16</f>
        <v>8.8253768844221106E-2</v>
      </c>
      <c r="BU25" s="179">
        <f t="shared" ref="BU25" si="26">+BU24/BU16</f>
        <v>8.5260472389103781E-2</v>
      </c>
      <c r="BW25" s="178">
        <f>+BW24/BW16</f>
        <v>8.1610833927298648E-2</v>
      </c>
      <c r="BX25" s="178">
        <f t="shared" ref="BX25" si="27">+BX24/BX16</f>
        <v>7.7297823968821039E-2</v>
      </c>
      <c r="BY25" s="178">
        <f t="shared" ref="BY25" si="28">+BY24/BY16</f>
        <v>8.2674571805006591E-2</v>
      </c>
      <c r="BZ25" s="178">
        <f t="shared" ref="BZ25" si="29">+BZ24/BZ16</f>
        <v>9.9473194917880384E-2</v>
      </c>
      <c r="CA25" s="179">
        <f t="shared" ref="CA25" si="30">+CA24/CA16</f>
        <v>8.5528482054659197E-2</v>
      </c>
      <c r="CC25" s="178">
        <f>+CC24/CC16</f>
        <v>7.5900664568030782E-2</v>
      </c>
      <c r="CD25" s="178">
        <f t="shared" ref="CD25" si="31">+CD24/CD16</f>
        <v>8.5784313725490197E-2</v>
      </c>
      <c r="CE25" s="178">
        <f t="shared" ref="CE25" si="32">+CE24/CE16</f>
        <v>7.8001218769043271E-2</v>
      </c>
      <c r="CF25" s="178">
        <f t="shared" ref="CF25" si="33">+CF24/CF16</f>
        <v>9.6567771960442111E-2</v>
      </c>
      <c r="CG25" s="179">
        <f t="shared" ref="CG25" si="34">+CG24/CG16</f>
        <v>8.448181888966752E-2</v>
      </c>
      <c r="CI25" s="178">
        <f>+CI24/CI16</f>
        <v>7.9899339414910356E-2</v>
      </c>
      <c r="CJ25" s="178">
        <f t="shared" ref="CJ25" si="35">+CJ24/CJ16</f>
        <v>9.679352712016781E-2</v>
      </c>
      <c r="CK25" s="178">
        <f t="shared" ref="CK25" si="36">+CK24/CK16</f>
        <v>8.2596769277659257E-2</v>
      </c>
      <c r="CL25" s="178">
        <f t="shared" ref="CL25" si="37">+CL24/CL16</f>
        <v>0.1244457582027786</v>
      </c>
      <c r="CM25" s="179">
        <f t="shared" ref="CM25" si="38">+CM24/CM16</f>
        <v>9.6282245827010629E-2</v>
      </c>
      <c r="CO25" s="178">
        <f>+CO24/CO16</f>
        <v>8.143884892086331E-2</v>
      </c>
      <c r="CP25" s="178">
        <f>+CP24/CP16</f>
        <v>0.11970684039087948</v>
      </c>
      <c r="CQ25" s="178"/>
      <c r="CR25" s="178"/>
      <c r="CS25" s="179">
        <f t="shared" ref="CS25" si="39">+CS24/CS16</f>
        <v>0.10113144293895796</v>
      </c>
    </row>
    <row r="26" spans="1:97" ht="18.75" customHeight="1">
      <c r="A26" s="6" t="s">
        <v>179</v>
      </c>
      <c r="C26" s="9"/>
      <c r="D26" s="9"/>
      <c r="E26" s="9"/>
      <c r="F26" s="9"/>
      <c r="G26" s="71"/>
      <c r="H26" s="8"/>
      <c r="I26" s="9"/>
      <c r="J26" s="9"/>
      <c r="K26" s="9"/>
      <c r="L26" s="9"/>
      <c r="M26" s="71"/>
      <c r="O26" s="9"/>
      <c r="P26" s="9"/>
      <c r="Q26" s="9"/>
      <c r="R26" s="9"/>
      <c r="S26" s="71"/>
      <c r="U26" s="9"/>
      <c r="V26" s="9"/>
      <c r="W26" s="9"/>
      <c r="X26" s="9"/>
      <c r="Y26" s="71"/>
      <c r="AA26" s="9"/>
      <c r="AB26" s="9"/>
      <c r="AC26" s="9"/>
      <c r="AD26" s="9"/>
      <c r="AE26" s="71"/>
      <c r="AG26" s="9"/>
      <c r="AH26" s="9"/>
      <c r="AI26" s="9"/>
      <c r="AJ26" s="9"/>
      <c r="AK26" s="71"/>
      <c r="AM26" s="9"/>
      <c r="AN26" s="9"/>
      <c r="AO26" s="9"/>
      <c r="AP26" s="9"/>
      <c r="AQ26" s="71"/>
      <c r="AS26" s="9"/>
      <c r="AT26" s="9"/>
      <c r="AU26" s="9"/>
      <c r="AV26" s="9"/>
      <c r="AW26" s="71"/>
      <c r="AY26" s="9"/>
      <c r="AZ26" s="9"/>
      <c r="BA26" s="9"/>
      <c r="BB26" s="9"/>
      <c r="BC26" s="71"/>
      <c r="BE26" s="9"/>
      <c r="BF26" s="9"/>
      <c r="BG26" s="9"/>
      <c r="BH26" s="27"/>
      <c r="BI26" s="71"/>
      <c r="BK26" s="47">
        <f>+BK19/BK15</f>
        <v>5.6949806949806947E-2</v>
      </c>
      <c r="BL26" s="47">
        <f t="shared" ref="BL26:BO26" si="40">+BL19/BL15</f>
        <v>5.9679767103347887E-2</v>
      </c>
      <c r="BM26" s="47">
        <f t="shared" si="40"/>
        <v>9.3053735255570119E-2</v>
      </c>
      <c r="BN26" s="47">
        <f t="shared" si="40"/>
        <v>2.8553693358162633E-2</v>
      </c>
      <c r="BO26" s="171">
        <f t="shared" si="40"/>
        <v>5.9311339462772672E-2</v>
      </c>
      <c r="BQ26" s="47">
        <f>+BQ19/BQ15</f>
        <v>2.2082018927444796E-2</v>
      </c>
      <c r="BR26" s="47">
        <f t="shared" ref="BR26:BU26" si="41">+BR19/BR15</f>
        <v>6.5359477124183009E-3</v>
      </c>
      <c r="BS26" s="47">
        <f t="shared" si="41"/>
        <v>4.894629503738953E-2</v>
      </c>
      <c r="BT26" s="47">
        <f t="shared" si="41"/>
        <v>4.8057932850559579E-2</v>
      </c>
      <c r="BU26" s="171">
        <f t="shared" si="41"/>
        <v>3.2298136645962733E-2</v>
      </c>
      <c r="BW26" s="47">
        <f>+BW19/BW15</f>
        <v>3.5971223021582732E-2</v>
      </c>
      <c r="BX26" s="47">
        <f t="shared" ref="BX26:CA26" si="42">+BX19/BX15</f>
        <v>3.3733133433283359E-2</v>
      </c>
      <c r="BY26" s="47">
        <f t="shared" si="42"/>
        <v>6.9529652351738247E-2</v>
      </c>
      <c r="BZ26" s="47">
        <f t="shared" si="42"/>
        <v>6.830238726790451E-2</v>
      </c>
      <c r="CA26" s="171">
        <f t="shared" si="42"/>
        <v>5.3495665006456375E-2</v>
      </c>
      <c r="CC26" s="47">
        <f>+CC19/CC15</f>
        <v>3.7423846823324627E-2</v>
      </c>
      <c r="CD26" s="47">
        <f t="shared" ref="CD26:CG26" si="43">+CD19/CD15</f>
        <v>4.784688995215311E-2</v>
      </c>
      <c r="CE26" s="47">
        <f t="shared" si="43"/>
        <v>6.2010836845273934E-2</v>
      </c>
      <c r="CF26" s="47">
        <f t="shared" si="43"/>
        <v>6.8233944954128434E-2</v>
      </c>
      <c r="CG26" s="171">
        <f t="shared" si="43"/>
        <v>5.5675585840119661E-2</v>
      </c>
      <c r="CI26" s="47">
        <f>+CI19/CI15</f>
        <v>3.5558780841799711E-2</v>
      </c>
      <c r="CJ26" s="47">
        <f t="shared" ref="CJ26:CM26" si="44">+CJ19/CJ15</f>
        <v>7.6361221779548474E-2</v>
      </c>
      <c r="CK26" s="47">
        <f t="shared" si="44"/>
        <v>8.1472540736270374E-2</v>
      </c>
      <c r="CL26" s="47">
        <f t="shared" si="44"/>
        <v>0.12219286657859973</v>
      </c>
      <c r="CM26" s="171">
        <f t="shared" si="44"/>
        <v>7.9933938893476469E-2</v>
      </c>
      <c r="CO26" s="47">
        <f>+CO19/CO15</f>
        <v>6.6914498141263934E-2</v>
      </c>
      <c r="CP26" s="47">
        <f>+CP19/CP15</f>
        <v>0.13997695852534561</v>
      </c>
      <c r="CQ26" s="47"/>
      <c r="CR26" s="47"/>
      <c r="CS26" s="171">
        <f t="shared" ref="CS26" si="45">+CS19/CS15</f>
        <v>0.10477611940298508</v>
      </c>
    </row>
    <row r="27" spans="1:97" ht="18.75" customHeight="1">
      <c r="A27" s="6" t="s">
        <v>181</v>
      </c>
      <c r="C27" s="9"/>
      <c r="D27" s="9"/>
      <c r="E27" s="9"/>
      <c r="F27" s="9"/>
      <c r="G27" s="71"/>
      <c r="H27" s="8"/>
      <c r="I27" s="9"/>
      <c r="J27" s="9"/>
      <c r="K27" s="9"/>
      <c r="L27" s="9"/>
      <c r="M27" s="71"/>
      <c r="O27" s="9"/>
      <c r="P27" s="9"/>
      <c r="Q27" s="9"/>
      <c r="R27" s="9"/>
      <c r="S27" s="71"/>
      <c r="U27" s="9"/>
      <c r="V27" s="9"/>
      <c r="W27" s="9"/>
      <c r="X27" s="9"/>
      <c r="Y27" s="71"/>
      <c r="AA27" s="9"/>
      <c r="AB27" s="9"/>
      <c r="AC27" s="9"/>
      <c r="AD27" s="9"/>
      <c r="AE27" s="71"/>
      <c r="AG27" s="9"/>
      <c r="AH27" s="9"/>
      <c r="AI27" s="9"/>
      <c r="AJ27" s="9"/>
      <c r="AK27" s="71"/>
      <c r="AM27" s="9"/>
      <c r="AN27" s="9"/>
      <c r="AO27" s="9"/>
      <c r="AP27" s="9"/>
      <c r="AQ27" s="71"/>
      <c r="AS27" s="9"/>
      <c r="AT27" s="9"/>
      <c r="AU27" s="9"/>
      <c r="AV27" s="9"/>
      <c r="AW27" s="71"/>
      <c r="AY27" s="9"/>
      <c r="AZ27" s="9"/>
      <c r="BA27" s="9"/>
      <c r="BB27" s="9"/>
      <c r="BC27" s="71"/>
      <c r="BE27" s="9"/>
      <c r="BF27" s="9"/>
      <c r="BG27" s="9"/>
      <c r="BH27" s="27"/>
      <c r="BI27" s="71"/>
      <c r="BK27" s="47">
        <f>+BK20/BK7</f>
        <v>0.12129760225669958</v>
      </c>
      <c r="BL27" s="47">
        <f t="shared" ref="BL27:BO27" si="46">+BL20/BL7</f>
        <v>0.12402088772845953</v>
      </c>
      <c r="BM27" s="47">
        <f t="shared" si="46"/>
        <v>9.4752186588921289E-2</v>
      </c>
      <c r="BN27" s="47">
        <f t="shared" si="46"/>
        <v>8.4210526315789472E-2</v>
      </c>
      <c r="BO27" s="171">
        <f t="shared" si="46"/>
        <v>0.10649034278754133</v>
      </c>
      <c r="BQ27" s="47">
        <f>+BQ20/BQ7</f>
        <v>0.11662371134020619</v>
      </c>
      <c r="BR27" s="47">
        <f t="shared" ref="BR27:BU27" si="47">+BR20/BR7</f>
        <v>0.12113870381586916</v>
      </c>
      <c r="BS27" s="47">
        <f t="shared" si="47"/>
        <v>0.1072618254497002</v>
      </c>
      <c r="BT27" s="47">
        <f t="shared" si="47"/>
        <v>0.11852776044915783</v>
      </c>
      <c r="BU27" s="171">
        <f t="shared" si="47"/>
        <v>0.11606151894720153</v>
      </c>
      <c r="BW27" s="47">
        <f>+BW20/BW7</f>
        <v>0.11980440097799511</v>
      </c>
      <c r="BX27" s="47">
        <f t="shared" ref="BX27:CA27" si="48">+BX20/BX7</f>
        <v>0.12285883047844064</v>
      </c>
      <c r="BY27" s="47">
        <f t="shared" si="48"/>
        <v>0.1041529334212261</v>
      </c>
      <c r="BZ27" s="47">
        <f t="shared" si="48"/>
        <v>0.12948328267477205</v>
      </c>
      <c r="CA27" s="171">
        <f t="shared" si="48"/>
        <v>0.11939608688953936</v>
      </c>
      <c r="CC27" s="47">
        <f>+CC20/CC7</f>
        <v>0.113595166163142</v>
      </c>
      <c r="CD27" s="47">
        <f t="shared" ref="CD27:CG27" si="49">+CD20/CD7</f>
        <v>0.12866168868466399</v>
      </c>
      <c r="CE27" s="47">
        <f t="shared" si="49"/>
        <v>0.10025706940874037</v>
      </c>
      <c r="CF27" s="47">
        <f t="shared" si="49"/>
        <v>0.1305158483530143</v>
      </c>
      <c r="CG27" s="171">
        <f t="shared" si="49"/>
        <v>0.11857948483462886</v>
      </c>
      <c r="CI27" s="47">
        <f>+CI20/CI7</f>
        <v>0.12262521588946459</v>
      </c>
      <c r="CJ27" s="47">
        <f t="shared" ref="CJ27:CM27" si="50">+CJ20/CJ7</f>
        <v>0.1236528644356211</v>
      </c>
      <c r="CK27" s="47">
        <f t="shared" si="50"/>
        <v>9.0442591404746628E-2</v>
      </c>
      <c r="CL27" s="47">
        <f t="shared" si="50"/>
        <v>0.12774338773213281</v>
      </c>
      <c r="CM27" s="171">
        <f t="shared" si="50"/>
        <v>0.11688121708601522</v>
      </c>
      <c r="CO27" s="47">
        <f>+CO20/CO7</f>
        <v>0.10133630289532294</v>
      </c>
      <c r="CP27" s="47">
        <f>+CP20/CP7</f>
        <v>0.11346765641569459</v>
      </c>
      <c r="CQ27" s="47"/>
      <c r="CR27" s="47"/>
      <c r="CS27" s="171">
        <f t="shared" ref="CS27" si="51">+CS20/CS7</f>
        <v>0.10755024443237371</v>
      </c>
    </row>
    <row r="28" spans="1:97" ht="18.75" customHeight="1">
      <c r="A28" s="6" t="s">
        <v>180</v>
      </c>
      <c r="C28" s="9"/>
      <c r="D28" s="9"/>
      <c r="E28" s="9"/>
      <c r="F28" s="9"/>
      <c r="G28" s="71"/>
      <c r="H28" s="8"/>
      <c r="I28" s="9"/>
      <c r="J28" s="9"/>
      <c r="K28" s="9"/>
      <c r="L28" s="9"/>
      <c r="M28" s="71"/>
      <c r="O28" s="9"/>
      <c r="P28" s="9"/>
      <c r="Q28" s="9"/>
      <c r="R28" s="9"/>
      <c r="S28" s="71"/>
      <c r="U28" s="9"/>
      <c r="V28" s="9"/>
      <c r="W28" s="9"/>
      <c r="X28" s="9"/>
      <c r="Y28" s="71"/>
      <c r="AA28" s="9"/>
      <c r="AB28" s="9"/>
      <c r="AC28" s="9"/>
      <c r="AD28" s="9"/>
      <c r="AE28" s="71"/>
      <c r="AG28" s="9"/>
      <c r="AH28" s="9"/>
      <c r="AI28" s="9"/>
      <c r="AJ28" s="9"/>
      <c r="AK28" s="71"/>
      <c r="AM28" s="9"/>
      <c r="AN28" s="9"/>
      <c r="AO28" s="9"/>
      <c r="AP28" s="9"/>
      <c r="AQ28" s="71"/>
      <c r="AS28" s="9"/>
      <c r="AT28" s="9"/>
      <c r="AU28" s="9"/>
      <c r="AV28" s="9"/>
      <c r="AW28" s="71"/>
      <c r="AY28" s="9"/>
      <c r="AZ28" s="9"/>
      <c r="BA28" s="9"/>
      <c r="BB28" s="9"/>
      <c r="BC28" s="71"/>
      <c r="BE28" s="9"/>
      <c r="BF28" s="9"/>
      <c r="BG28" s="9"/>
      <c r="BH28" s="27"/>
      <c r="BI28" s="71"/>
      <c r="BK28" s="47"/>
      <c r="BL28" s="9"/>
      <c r="BM28" s="9"/>
      <c r="BN28" s="27"/>
      <c r="BO28" s="71"/>
      <c r="BQ28" s="47">
        <f t="shared" ref="BQ28:BT28" si="52">+BQ22/BQ10</f>
        <v>-0.18604651162790697</v>
      </c>
      <c r="BR28" s="47">
        <f t="shared" si="52"/>
        <v>-0.02</v>
      </c>
      <c r="BS28" s="47">
        <f t="shared" si="52"/>
        <v>5.4545454545454543E-2</v>
      </c>
      <c r="BT28" s="47">
        <f t="shared" si="52"/>
        <v>0.11290322580645161</v>
      </c>
      <c r="BU28" s="171">
        <f>+BU22/BU10</f>
        <v>4.7619047619047623E-3</v>
      </c>
      <c r="BW28" s="47">
        <f t="shared" ref="BW28:BZ28" si="53">+BW22/BW10</f>
        <v>-1.6949152542372881E-2</v>
      </c>
      <c r="BX28" s="47">
        <f t="shared" si="53"/>
        <v>-7.6923076923076927E-2</v>
      </c>
      <c r="BY28" s="47">
        <f t="shared" si="53"/>
        <v>-1.9607843137254902E-2</v>
      </c>
      <c r="BZ28" s="47">
        <f t="shared" si="53"/>
        <v>0.2</v>
      </c>
      <c r="CA28" s="171">
        <f>+CA22/CA10</f>
        <v>3.7974683544303799E-2</v>
      </c>
      <c r="CC28" s="47">
        <f t="shared" ref="CC28:CF28" si="54">+CC22/CC10</f>
        <v>-9.0909090909090912E-2</v>
      </c>
      <c r="CD28" s="47">
        <f t="shared" si="54"/>
        <v>-1.6129032258064516E-2</v>
      </c>
      <c r="CE28" s="47">
        <f t="shared" si="54"/>
        <v>3.2258064516129031E-2</v>
      </c>
      <c r="CF28" s="47">
        <f t="shared" si="54"/>
        <v>0.11494252873563218</v>
      </c>
      <c r="CG28" s="171">
        <f>+CG22/CG10</f>
        <v>2.2556390977443608E-2</v>
      </c>
      <c r="CI28" s="47">
        <f t="shared" ref="CI28:CK28" si="55">+CI22/CI10</f>
        <v>0</v>
      </c>
      <c r="CJ28" s="47">
        <f t="shared" si="55"/>
        <v>-2.9850746268656716E-2</v>
      </c>
      <c r="CK28" s="47">
        <f t="shared" si="55"/>
        <v>1.5384615384615385E-2</v>
      </c>
      <c r="CL28" s="47">
        <f>+CL22/CL10</f>
        <v>0.23655913978494625</v>
      </c>
      <c r="CM28" s="171">
        <f>+CM22/CM10</f>
        <v>7.2413793103448282E-2</v>
      </c>
      <c r="CO28" s="47">
        <f t="shared" ref="CO28:CP28" si="56">+CO22/CO10</f>
        <v>-1.5384615384615385E-2</v>
      </c>
      <c r="CP28" s="47">
        <f t="shared" si="56"/>
        <v>-0.12903225806451613</v>
      </c>
      <c r="CQ28" s="47"/>
      <c r="CR28" s="47"/>
      <c r="CS28" s="171">
        <f>+CS22/CS10</f>
        <v>-7.0866141732283464E-2</v>
      </c>
    </row>
    <row r="29" spans="1:97">
      <c r="C29" s="9"/>
      <c r="D29" s="9"/>
      <c r="E29" s="9"/>
      <c r="F29" s="9"/>
      <c r="G29" s="71"/>
      <c r="H29" s="8"/>
      <c r="I29" s="9"/>
      <c r="J29" s="9"/>
      <c r="K29" s="9"/>
      <c r="L29" s="9"/>
      <c r="M29" s="71"/>
      <c r="O29" s="9"/>
      <c r="P29" s="9"/>
      <c r="Q29" s="9"/>
      <c r="R29" s="9"/>
      <c r="S29" s="71"/>
      <c r="U29" s="9"/>
      <c r="V29" s="9"/>
      <c r="W29" s="9"/>
      <c r="X29" s="9"/>
      <c r="Y29" s="71"/>
      <c r="AA29" s="9"/>
      <c r="AB29" s="9"/>
      <c r="AC29" s="9"/>
      <c r="AD29" s="9"/>
      <c r="AE29" s="71"/>
      <c r="AG29" s="9"/>
      <c r="AH29" s="9"/>
      <c r="AI29" s="9"/>
      <c r="AJ29" s="9"/>
      <c r="AK29" s="71"/>
      <c r="AM29" s="9"/>
      <c r="AN29" s="9"/>
      <c r="AO29" s="9"/>
      <c r="AP29" s="9"/>
      <c r="AQ29" s="71"/>
      <c r="AS29" s="9"/>
      <c r="AT29" s="9"/>
      <c r="AU29" s="9"/>
      <c r="AV29" s="9"/>
      <c r="AW29" s="71"/>
      <c r="AY29" s="9"/>
      <c r="AZ29" s="9"/>
      <c r="BA29" s="9"/>
      <c r="BB29" s="9"/>
      <c r="BC29" s="71"/>
      <c r="BE29" s="9"/>
      <c r="BF29" s="9"/>
      <c r="BG29" s="9"/>
      <c r="BH29" s="27"/>
      <c r="BI29" s="71"/>
      <c r="BK29" s="9"/>
      <c r="BL29" s="9"/>
      <c r="BM29" s="9"/>
      <c r="BN29" s="27"/>
      <c r="BO29" s="71"/>
      <c r="BQ29" s="9"/>
      <c r="BR29" s="9"/>
      <c r="BS29" s="9"/>
      <c r="BT29" s="27"/>
      <c r="BU29" s="71"/>
      <c r="BW29" s="9"/>
      <c r="BX29" s="9"/>
      <c r="BY29" s="9"/>
      <c r="BZ29" s="27"/>
      <c r="CA29" s="71"/>
      <c r="CC29" s="9"/>
      <c r="CD29" s="9"/>
      <c r="CE29" s="9"/>
      <c r="CF29" s="27"/>
      <c r="CG29" s="71"/>
      <c r="CI29" s="9"/>
      <c r="CJ29" s="9"/>
      <c r="CK29" s="9"/>
      <c r="CL29" s="27"/>
      <c r="CM29" s="71"/>
      <c r="CO29" s="9"/>
      <c r="CP29" s="9"/>
      <c r="CQ29" s="9"/>
      <c r="CR29" s="27"/>
      <c r="CS29" s="71"/>
    </row>
    <row r="30" spans="1:97">
      <c r="A30" s="6" t="s">
        <v>1</v>
      </c>
      <c r="C30" s="9"/>
      <c r="D30" s="9"/>
      <c r="E30" s="9"/>
      <c r="F30" s="9"/>
      <c r="G30" s="71"/>
      <c r="H30" s="8"/>
      <c r="I30" s="9"/>
      <c r="J30" s="9"/>
      <c r="K30" s="9"/>
      <c r="L30" s="9"/>
      <c r="M30" s="71"/>
      <c r="O30" s="9"/>
      <c r="P30" s="9"/>
      <c r="Q30" s="9"/>
      <c r="R30" s="9"/>
      <c r="S30" s="71"/>
      <c r="U30" s="9"/>
      <c r="V30" s="9"/>
      <c r="W30" s="9"/>
      <c r="X30" s="9"/>
      <c r="Y30" s="71"/>
      <c r="AA30" s="9"/>
      <c r="AB30" s="9"/>
      <c r="AC30" s="9"/>
      <c r="AD30" s="9"/>
      <c r="AE30" s="71"/>
      <c r="AG30" s="9"/>
      <c r="AH30" s="9"/>
      <c r="AI30" s="9"/>
      <c r="AJ30" s="9"/>
      <c r="AK30" s="71"/>
      <c r="AM30" s="9"/>
      <c r="AN30" s="9"/>
      <c r="AO30" s="9"/>
      <c r="AP30" s="9"/>
      <c r="AQ30" s="71"/>
      <c r="AS30" s="9"/>
      <c r="AT30" s="9"/>
      <c r="AU30" s="9"/>
      <c r="AV30" s="9"/>
      <c r="AW30" s="71"/>
      <c r="AY30" s="9"/>
      <c r="AZ30" s="9"/>
      <c r="BA30" s="9"/>
      <c r="BB30" s="9"/>
      <c r="BC30" s="71"/>
      <c r="BE30" s="9"/>
      <c r="BF30" s="9"/>
      <c r="BG30" s="9"/>
      <c r="BH30" s="27"/>
      <c r="BI30" s="71"/>
      <c r="BK30" s="9"/>
      <c r="BL30" s="9"/>
      <c r="BM30" s="9"/>
      <c r="BN30" s="27"/>
      <c r="BO30" s="71"/>
      <c r="BQ30" s="9"/>
      <c r="BR30" s="9"/>
      <c r="BS30" s="9"/>
      <c r="BT30" s="27"/>
      <c r="BU30" s="71"/>
      <c r="BW30" s="9"/>
      <c r="BX30" s="9"/>
      <c r="BY30" s="9"/>
      <c r="BZ30" s="27"/>
      <c r="CA30" s="71"/>
      <c r="CC30" s="9"/>
      <c r="CD30" s="9"/>
      <c r="CE30" s="9"/>
      <c r="CF30" s="27"/>
      <c r="CG30" s="71"/>
      <c r="CI30" s="9"/>
      <c r="CJ30" s="9"/>
      <c r="CK30" s="9"/>
      <c r="CL30" s="27"/>
      <c r="CM30" s="71"/>
      <c r="CO30" s="9"/>
      <c r="CP30" s="9"/>
      <c r="CQ30" s="9"/>
      <c r="CR30" s="27"/>
      <c r="CS30" s="71"/>
    </row>
    <row r="31" spans="1:97">
      <c r="A31" s="2" t="s">
        <v>130</v>
      </c>
      <c r="C31" s="9">
        <v>11</v>
      </c>
      <c r="D31" s="9">
        <v>145</v>
      </c>
      <c r="E31" s="9">
        <v>43</v>
      </c>
      <c r="F31" s="9">
        <v>53</v>
      </c>
      <c r="G31" s="71">
        <f>SUM(C31:F31)</f>
        <v>252</v>
      </c>
      <c r="H31" s="8"/>
      <c r="I31" s="9">
        <v>-4</v>
      </c>
      <c r="J31" s="9">
        <v>50</v>
      </c>
      <c r="K31" s="9">
        <v>35</v>
      </c>
      <c r="L31" s="9">
        <v>-93</v>
      </c>
      <c r="M31" s="71">
        <f>SUM(I31:L31)</f>
        <v>-12</v>
      </c>
      <c r="O31" s="9">
        <v>18</v>
      </c>
      <c r="P31" s="9">
        <v>49</v>
      </c>
      <c r="Q31" s="9">
        <v>66</v>
      </c>
      <c r="R31" s="9">
        <v>33</v>
      </c>
      <c r="S31" s="71">
        <f>SUM(O31:R31)</f>
        <v>166</v>
      </c>
      <c r="U31" s="9">
        <v>22</v>
      </c>
      <c r="V31" s="9">
        <v>64</v>
      </c>
      <c r="W31" s="9">
        <v>70</v>
      </c>
      <c r="X31" s="9">
        <v>34</v>
      </c>
      <c r="Y31" s="71">
        <f>SUM(U31:X31)</f>
        <v>190</v>
      </c>
      <c r="AA31" s="9">
        <v>22</v>
      </c>
      <c r="AB31" s="9">
        <v>61</v>
      </c>
      <c r="AC31" s="9">
        <v>62</v>
      </c>
      <c r="AD31" s="9">
        <v>44</v>
      </c>
      <c r="AE31" s="71">
        <f>SUM(AA31:AD31)</f>
        <v>189</v>
      </c>
      <c r="AG31" s="9">
        <v>23</v>
      </c>
      <c r="AH31" s="9">
        <v>62</v>
      </c>
      <c r="AI31" s="9">
        <v>79</v>
      </c>
      <c r="AJ31" s="9">
        <v>78</v>
      </c>
      <c r="AK31" s="71">
        <f>SUM(AG31:AJ31)</f>
        <v>242</v>
      </c>
      <c r="AM31" s="9">
        <v>62</v>
      </c>
      <c r="AN31" s="9">
        <v>99</v>
      </c>
      <c r="AO31" s="9">
        <v>120</v>
      </c>
      <c r="AP31" s="9">
        <v>82</v>
      </c>
      <c r="AQ31" s="71">
        <f>SUM(AM31:AP31)</f>
        <v>363</v>
      </c>
      <c r="AS31" s="9">
        <v>106</v>
      </c>
      <c r="AT31" s="9">
        <v>195</v>
      </c>
      <c r="AU31" s="9">
        <v>187</v>
      </c>
      <c r="AV31" s="9">
        <v>231</v>
      </c>
      <c r="AW31" s="71">
        <f>SUM(AS31:AV31)</f>
        <v>719</v>
      </c>
      <c r="AY31" s="9">
        <v>123</v>
      </c>
      <c r="AZ31" s="9">
        <v>191</v>
      </c>
      <c r="BA31" s="9">
        <v>161</v>
      </c>
      <c r="BB31" s="9">
        <v>30</v>
      </c>
      <c r="BC31" s="71">
        <f>SUM(AY31:BB31)</f>
        <v>505</v>
      </c>
      <c r="BE31" s="9">
        <v>15</v>
      </c>
      <c r="BF31" s="9">
        <v>145</v>
      </c>
      <c r="BG31" s="9">
        <v>118</v>
      </c>
      <c r="BH31" s="27">
        <v>95</v>
      </c>
      <c r="BI31" s="71">
        <f>SUM(BE31:BH31)</f>
        <v>373</v>
      </c>
      <c r="BK31" s="9">
        <v>60</v>
      </c>
      <c r="BL31" s="9">
        <v>81</v>
      </c>
      <c r="BM31" s="9">
        <v>142</v>
      </c>
      <c r="BN31" s="27">
        <v>46</v>
      </c>
      <c r="BO31" s="71">
        <f>SUM(BK31:BN31)</f>
        <v>329</v>
      </c>
      <c r="BQ31" s="9">
        <v>29</v>
      </c>
      <c r="BR31" s="9">
        <v>9</v>
      </c>
      <c r="BS31" s="9">
        <v>71</v>
      </c>
      <c r="BT31" s="27">
        <v>73</v>
      </c>
      <c r="BU31" s="71">
        <f>SUM(BQ31:BT31)</f>
        <v>182</v>
      </c>
      <c r="BW31" s="9">
        <f>-1+40</f>
        <v>39</v>
      </c>
      <c r="BX31" s="9">
        <v>45</v>
      </c>
      <c r="BY31" s="9">
        <v>103</v>
      </c>
      <c r="BZ31" s="27">
        <v>103</v>
      </c>
      <c r="CA31" s="71">
        <f>SUM(BW31:BZ31)</f>
        <v>290</v>
      </c>
      <c r="CC31" s="9">
        <v>43</v>
      </c>
      <c r="CD31" s="9">
        <v>70</v>
      </c>
      <c r="CE31" s="9">
        <v>103</v>
      </c>
      <c r="CF31" s="27">
        <f>119+37</f>
        <v>156</v>
      </c>
      <c r="CG31" s="71">
        <f>SUM(CC31:CF31)</f>
        <v>372</v>
      </c>
      <c r="CI31" s="9">
        <v>-6</v>
      </c>
      <c r="CJ31" s="9">
        <v>14</v>
      </c>
      <c r="CK31" s="9">
        <v>90</v>
      </c>
      <c r="CL31" s="27">
        <v>81</v>
      </c>
      <c r="CM31" s="71">
        <f>SUM(CI31:CL31)</f>
        <v>179</v>
      </c>
      <c r="CO31" s="9">
        <v>70</v>
      </c>
      <c r="CP31" s="9">
        <v>209</v>
      </c>
      <c r="CQ31" s="9"/>
      <c r="CR31" s="27"/>
      <c r="CS31" s="71">
        <f>SUM(CO31:CR31)</f>
        <v>279</v>
      </c>
    </row>
    <row r="32" spans="1:97">
      <c r="A32" s="2" t="s">
        <v>187</v>
      </c>
      <c r="C32" s="9">
        <v>45</v>
      </c>
      <c r="D32" s="9">
        <v>28</v>
      </c>
      <c r="E32" s="9">
        <v>26</v>
      </c>
      <c r="F32" s="9">
        <v>33</v>
      </c>
      <c r="G32" s="71">
        <f t="shared" ref="G32:G37" si="57">SUM(C32:F32)</f>
        <v>132</v>
      </c>
      <c r="H32" s="8"/>
      <c r="I32" s="9">
        <v>38</v>
      </c>
      <c r="J32" s="9">
        <v>60</v>
      </c>
      <c r="K32" s="9">
        <v>56</v>
      </c>
      <c r="L32" s="9">
        <v>60</v>
      </c>
      <c r="M32" s="71">
        <f t="shared" ref="M32:M37" si="58">SUM(I32:L32)</f>
        <v>214</v>
      </c>
      <c r="O32" s="9">
        <v>70</v>
      </c>
      <c r="P32" s="9">
        <v>72</v>
      </c>
      <c r="Q32" s="9">
        <v>59</v>
      </c>
      <c r="R32" s="9">
        <v>75</v>
      </c>
      <c r="S32" s="71">
        <f t="shared" ref="S32:S37" si="59">SUM(O32:R32)</f>
        <v>276</v>
      </c>
      <c r="U32" s="9">
        <v>77</v>
      </c>
      <c r="V32" s="9">
        <v>100</v>
      </c>
      <c r="W32" s="9">
        <v>93</v>
      </c>
      <c r="X32" s="9">
        <v>101</v>
      </c>
      <c r="Y32" s="71">
        <f t="shared" ref="Y32:Y37" si="60">SUM(U32:X32)</f>
        <v>371</v>
      </c>
      <c r="AA32" s="9">
        <v>77</v>
      </c>
      <c r="AB32" s="9">
        <v>-82</v>
      </c>
      <c r="AC32" s="9">
        <v>93</v>
      </c>
      <c r="AD32" s="9">
        <v>101</v>
      </c>
      <c r="AE32" s="71">
        <f t="shared" ref="AE32:AE37" si="61">SUM(AA32:AD32)</f>
        <v>189</v>
      </c>
      <c r="AG32" s="9">
        <v>101</v>
      </c>
      <c r="AH32" s="9">
        <v>119</v>
      </c>
      <c r="AI32" s="9">
        <v>114</v>
      </c>
      <c r="AJ32" s="9">
        <v>135</v>
      </c>
      <c r="AK32" s="71">
        <f t="shared" ref="AK32:AK37" si="62">SUM(AG32:AJ32)</f>
        <v>469</v>
      </c>
      <c r="AM32" s="9">
        <v>117</v>
      </c>
      <c r="AN32" s="9">
        <v>269</v>
      </c>
      <c r="AO32" s="9">
        <v>126</v>
      </c>
      <c r="AP32" s="9">
        <v>124</v>
      </c>
      <c r="AQ32" s="71">
        <f t="shared" ref="AQ32:AQ37" si="63">SUM(AM32:AP32)</f>
        <v>636</v>
      </c>
      <c r="AS32" s="9">
        <v>146</v>
      </c>
      <c r="AT32" s="9">
        <v>174</v>
      </c>
      <c r="AU32" s="9">
        <v>134</v>
      </c>
      <c r="AV32" s="9">
        <v>180</v>
      </c>
      <c r="AW32" s="71">
        <f t="shared" ref="AW32:AW37" si="64">SUM(AS32:AV32)</f>
        <v>634</v>
      </c>
      <c r="AY32" s="9">
        <v>154</v>
      </c>
      <c r="AZ32" s="9">
        <v>193</v>
      </c>
      <c r="BA32" s="9">
        <v>105</v>
      </c>
      <c r="BB32" s="9">
        <v>111</v>
      </c>
      <c r="BC32" s="71">
        <f t="shared" ref="BC32:BC37" si="65">SUM(AY32:BB32)</f>
        <v>563</v>
      </c>
      <c r="BE32" s="9">
        <v>85</v>
      </c>
      <c r="BF32" s="9">
        <v>68</v>
      </c>
      <c r="BG32" s="9">
        <v>83</v>
      </c>
      <c r="BH32" s="27">
        <v>81</v>
      </c>
      <c r="BI32" s="71">
        <f t="shared" ref="BI32:BI37" si="66">SUM(BE32:BH32)</f>
        <v>317</v>
      </c>
      <c r="BK32" s="9">
        <v>150</v>
      </c>
      <c r="BL32" s="9">
        <v>167</v>
      </c>
      <c r="BM32" s="9">
        <v>104</v>
      </c>
      <c r="BN32" s="27">
        <v>105</v>
      </c>
      <c r="BO32" s="71">
        <f t="shared" ref="BO32:BO37" si="67">SUM(BK32:BN32)</f>
        <v>526</v>
      </c>
      <c r="BQ32" s="9">
        <v>175</v>
      </c>
      <c r="BR32" s="9">
        <v>193</v>
      </c>
      <c r="BS32" s="9">
        <v>157</v>
      </c>
      <c r="BT32" s="27">
        <v>174</v>
      </c>
      <c r="BU32" s="71">
        <f t="shared" ref="BU32:BU37" si="68">SUM(BQ32:BT32)</f>
        <v>699</v>
      </c>
      <c r="BW32" s="9">
        <v>195</v>
      </c>
      <c r="BX32" s="9">
        <v>198</v>
      </c>
      <c r="BY32" s="9">
        <v>146</v>
      </c>
      <c r="BZ32" s="27">
        <v>206</v>
      </c>
      <c r="CA32" s="71">
        <f t="shared" ref="CA32:CA37" si="69">SUM(BW32:BZ32)</f>
        <v>745</v>
      </c>
      <c r="CC32" s="9">
        <v>188</v>
      </c>
      <c r="CD32" s="9">
        <v>224</v>
      </c>
      <c r="CE32" s="9">
        <v>156</v>
      </c>
      <c r="CF32" s="27">
        <v>210</v>
      </c>
      <c r="CG32" s="71">
        <f t="shared" ref="CG32:CG37" si="70">SUM(CC32:CF32)</f>
        <v>778</v>
      </c>
      <c r="CI32" s="9">
        <v>310</v>
      </c>
      <c r="CJ32" s="9">
        <v>218</v>
      </c>
      <c r="CK32" s="9">
        <v>141</v>
      </c>
      <c r="CL32" s="27">
        <v>227</v>
      </c>
      <c r="CM32" s="71">
        <f t="shared" ref="CM32:CM37" si="71">SUM(CI32:CL32)</f>
        <v>896</v>
      </c>
      <c r="CO32" s="9">
        <v>182</v>
      </c>
      <c r="CP32" s="9">
        <v>214</v>
      </c>
      <c r="CQ32" s="9"/>
      <c r="CR32" s="27"/>
      <c r="CS32" s="71">
        <f t="shared" ref="CS32:CS37" si="72">SUM(CO32:CR32)</f>
        <v>396</v>
      </c>
    </row>
    <row r="33" spans="1:246" hidden="1">
      <c r="A33" s="2" t="s">
        <v>36</v>
      </c>
      <c r="C33" s="9">
        <v>13</v>
      </c>
      <c r="D33" s="9">
        <v>13</v>
      </c>
      <c r="E33" s="9">
        <v>11</v>
      </c>
      <c r="F33" s="9">
        <v>10</v>
      </c>
      <c r="G33" s="71">
        <f t="shared" si="57"/>
        <v>47</v>
      </c>
      <c r="H33" s="8"/>
      <c r="I33" s="9">
        <f>67</f>
        <v>67</v>
      </c>
      <c r="J33" s="9">
        <v>19</v>
      </c>
      <c r="K33" s="9">
        <v>47</v>
      </c>
      <c r="L33" s="9">
        <v>20</v>
      </c>
      <c r="M33" s="71">
        <f t="shared" si="58"/>
        <v>153</v>
      </c>
      <c r="O33" s="9">
        <v>6</v>
      </c>
      <c r="P33" s="9">
        <v>5</v>
      </c>
      <c r="Q33" s="9">
        <v>3</v>
      </c>
      <c r="R33" s="9">
        <v>14</v>
      </c>
      <c r="S33" s="71">
        <f t="shared" si="59"/>
        <v>28</v>
      </c>
      <c r="U33" s="9">
        <v>4</v>
      </c>
      <c r="V33" s="9">
        <v>5</v>
      </c>
      <c r="W33" s="9">
        <v>138</v>
      </c>
      <c r="X33" s="9">
        <v>45</v>
      </c>
      <c r="Y33" s="71">
        <f t="shared" si="60"/>
        <v>192</v>
      </c>
      <c r="AA33" s="9">
        <v>4</v>
      </c>
      <c r="AB33" s="9">
        <v>5</v>
      </c>
      <c r="AC33" s="9">
        <v>138</v>
      </c>
      <c r="AD33" s="9">
        <v>45</v>
      </c>
      <c r="AE33" s="71">
        <f t="shared" si="61"/>
        <v>192</v>
      </c>
      <c r="AG33" s="9">
        <v>4</v>
      </c>
      <c r="AH33" s="9">
        <v>2</v>
      </c>
      <c r="AI33" s="9">
        <v>0</v>
      </c>
      <c r="AJ33" s="9">
        <v>1</v>
      </c>
      <c r="AK33" s="71">
        <f t="shared" si="62"/>
        <v>7</v>
      </c>
      <c r="AM33" s="9"/>
      <c r="AN33" s="9"/>
      <c r="AO33" s="9"/>
      <c r="AP33" s="9"/>
      <c r="AQ33" s="71">
        <f t="shared" si="63"/>
        <v>0</v>
      </c>
      <c r="AS33" s="9"/>
      <c r="AT33" s="9"/>
      <c r="AU33" s="9"/>
      <c r="AV33" s="9" t="s">
        <v>63</v>
      </c>
      <c r="AW33" s="71">
        <f t="shared" si="64"/>
        <v>0</v>
      </c>
      <c r="AY33" s="9"/>
      <c r="AZ33" s="9"/>
      <c r="BA33" s="9"/>
      <c r="BB33" s="9"/>
      <c r="BC33" s="71">
        <f t="shared" si="65"/>
        <v>0</v>
      </c>
      <c r="BE33" s="9"/>
      <c r="BF33" s="9"/>
      <c r="BG33" s="9"/>
      <c r="BH33" s="27"/>
      <c r="BI33" s="71">
        <f t="shared" si="66"/>
        <v>0</v>
      </c>
      <c r="BK33" s="9"/>
      <c r="BL33" s="9"/>
      <c r="BM33" s="9"/>
      <c r="BN33" s="27"/>
      <c r="BO33" s="71">
        <f t="shared" si="67"/>
        <v>0</v>
      </c>
      <c r="BQ33" s="9"/>
      <c r="BR33" s="9"/>
      <c r="BS33" s="9"/>
      <c r="BT33" s="27"/>
      <c r="BU33" s="71">
        <f t="shared" si="68"/>
        <v>0</v>
      </c>
      <c r="BW33" s="9"/>
      <c r="BX33" s="9"/>
      <c r="BY33" s="9"/>
      <c r="BZ33" s="27"/>
      <c r="CA33" s="71">
        <f t="shared" si="69"/>
        <v>0</v>
      </c>
      <c r="CC33" s="9"/>
      <c r="CD33" s="9"/>
      <c r="CE33" s="9"/>
      <c r="CF33" s="27"/>
      <c r="CG33" s="71">
        <f t="shared" si="70"/>
        <v>0</v>
      </c>
      <c r="CI33" s="9"/>
      <c r="CJ33" s="9"/>
      <c r="CK33" s="9"/>
      <c r="CL33" s="27"/>
      <c r="CM33" s="71">
        <f t="shared" si="71"/>
        <v>0</v>
      </c>
      <c r="CO33" s="9"/>
      <c r="CP33" s="9"/>
      <c r="CQ33" s="9"/>
      <c r="CR33" s="27"/>
      <c r="CS33" s="71">
        <f t="shared" si="72"/>
        <v>0</v>
      </c>
    </row>
    <row r="34" spans="1:246">
      <c r="A34" s="2" t="s">
        <v>148</v>
      </c>
      <c r="C34" s="9">
        <v>-10</v>
      </c>
      <c r="D34" s="9">
        <v>6</v>
      </c>
      <c r="E34" s="9">
        <v>-5</v>
      </c>
      <c r="F34" s="9">
        <v>-8</v>
      </c>
      <c r="G34" s="71">
        <f t="shared" si="57"/>
        <v>-17</v>
      </c>
      <c r="H34" s="8"/>
      <c r="I34" s="9">
        <v>2</v>
      </c>
      <c r="J34" s="9">
        <v>-3</v>
      </c>
      <c r="K34" s="9">
        <v>-4</v>
      </c>
      <c r="L34" s="9">
        <v>-11</v>
      </c>
      <c r="M34" s="71">
        <f t="shared" si="58"/>
        <v>-16</v>
      </c>
      <c r="O34" s="9">
        <v>-7</v>
      </c>
      <c r="P34" s="9">
        <v>0</v>
      </c>
      <c r="Q34" s="9">
        <v>9</v>
      </c>
      <c r="R34" s="9">
        <v>-8</v>
      </c>
      <c r="S34" s="71">
        <f t="shared" si="59"/>
        <v>-6</v>
      </c>
      <c r="U34" s="9">
        <v>-10</v>
      </c>
      <c r="V34" s="9">
        <v>3</v>
      </c>
      <c r="W34" s="9">
        <v>-9</v>
      </c>
      <c r="X34" s="9">
        <v>-18</v>
      </c>
      <c r="Y34" s="71">
        <f t="shared" si="60"/>
        <v>-34</v>
      </c>
      <c r="AA34" s="9">
        <v>-9</v>
      </c>
      <c r="AB34" s="9">
        <v>-3</v>
      </c>
      <c r="AC34" s="9">
        <v>-8</v>
      </c>
      <c r="AD34" s="9">
        <v>-13</v>
      </c>
      <c r="AE34" s="71">
        <f t="shared" si="61"/>
        <v>-33</v>
      </c>
      <c r="AG34" s="9">
        <v>-4</v>
      </c>
      <c r="AH34" s="9">
        <v>-1</v>
      </c>
      <c r="AI34" s="9">
        <v>1</v>
      </c>
      <c r="AJ34" s="9">
        <v>14</v>
      </c>
      <c r="AK34" s="71">
        <f t="shared" si="62"/>
        <v>10</v>
      </c>
      <c r="AM34" s="9">
        <v>6</v>
      </c>
      <c r="AN34" s="9">
        <v>16</v>
      </c>
      <c r="AO34" s="9">
        <v>15</v>
      </c>
      <c r="AP34" s="9">
        <v>16</v>
      </c>
      <c r="AQ34" s="71">
        <f t="shared" si="63"/>
        <v>53</v>
      </c>
      <c r="AS34" s="9">
        <v>16</v>
      </c>
      <c r="AT34" s="9">
        <v>35</v>
      </c>
      <c r="AU34" s="9">
        <v>21</v>
      </c>
      <c r="AV34" s="9">
        <v>49</v>
      </c>
      <c r="AW34" s="71">
        <f t="shared" si="64"/>
        <v>121</v>
      </c>
      <c r="AY34" s="9">
        <v>47</v>
      </c>
      <c r="AZ34" s="9">
        <v>91</v>
      </c>
      <c r="BA34" s="9">
        <v>76</v>
      </c>
      <c r="BB34" s="9">
        <v>8</v>
      </c>
      <c r="BC34" s="71">
        <f t="shared" si="65"/>
        <v>222</v>
      </c>
      <c r="BE34" s="9">
        <v>37</v>
      </c>
      <c r="BF34" s="9">
        <v>43</v>
      </c>
      <c r="BG34" s="9">
        <v>39</v>
      </c>
      <c r="BH34" s="27">
        <v>17</v>
      </c>
      <c r="BI34" s="71">
        <f t="shared" si="66"/>
        <v>136</v>
      </c>
      <c r="BK34" s="9">
        <v>16</v>
      </c>
      <c r="BL34" s="9">
        <v>23</v>
      </c>
      <c r="BM34" s="9">
        <v>18</v>
      </c>
      <c r="BN34" s="27">
        <v>33</v>
      </c>
      <c r="BO34" s="71">
        <f t="shared" si="67"/>
        <v>90</v>
      </c>
      <c r="BQ34" s="11">
        <v>28</v>
      </c>
      <c r="BR34" s="11">
        <v>21</v>
      </c>
      <c r="BS34" s="11">
        <v>90</v>
      </c>
      <c r="BT34" s="11">
        <v>19</v>
      </c>
      <c r="BU34" s="71">
        <f t="shared" si="68"/>
        <v>158</v>
      </c>
      <c r="BW34" s="48">
        <v>0</v>
      </c>
      <c r="BX34" s="48">
        <v>0</v>
      </c>
      <c r="BY34" s="9">
        <v>0</v>
      </c>
      <c r="BZ34" s="27">
        <v>0</v>
      </c>
      <c r="CA34" s="71">
        <f t="shared" si="69"/>
        <v>0</v>
      </c>
      <c r="CC34" s="48"/>
      <c r="CD34" s="48"/>
      <c r="CE34" s="9"/>
      <c r="CF34" s="27"/>
      <c r="CG34" s="71">
        <f t="shared" si="70"/>
        <v>0</v>
      </c>
      <c r="CI34" s="48"/>
      <c r="CJ34" s="48"/>
      <c r="CK34" s="9"/>
      <c r="CL34" s="27"/>
      <c r="CM34" s="71">
        <f t="shared" si="71"/>
        <v>0</v>
      </c>
      <c r="CO34" s="48"/>
      <c r="CP34" s="48"/>
      <c r="CQ34" s="9"/>
      <c r="CR34" s="27"/>
      <c r="CS34" s="71">
        <f t="shared" si="72"/>
        <v>0</v>
      </c>
    </row>
    <row r="35" spans="1:246">
      <c r="A35" s="2" t="s">
        <v>128</v>
      </c>
      <c r="C35" s="9">
        <f>4-10</f>
        <v>-6</v>
      </c>
      <c r="D35" s="9">
        <v>-6</v>
      </c>
      <c r="E35" s="9">
        <f>22-30</f>
        <v>-8</v>
      </c>
      <c r="F35" s="9">
        <v>-19</v>
      </c>
      <c r="G35" s="71">
        <f t="shared" si="57"/>
        <v>-39</v>
      </c>
      <c r="H35" s="8"/>
      <c r="I35" s="9">
        <v>-20</v>
      </c>
      <c r="J35" s="9">
        <v>-17</v>
      </c>
      <c r="K35" s="9">
        <v>-18</v>
      </c>
      <c r="L35" s="9">
        <v>-26</v>
      </c>
      <c r="M35" s="71">
        <f t="shared" si="58"/>
        <v>-81</v>
      </c>
      <c r="O35" s="9">
        <v>-20</v>
      </c>
      <c r="P35" s="9">
        <v>-17</v>
      </c>
      <c r="Q35" s="9">
        <v>-19</v>
      </c>
      <c r="R35" s="9">
        <v>-20</v>
      </c>
      <c r="S35" s="71">
        <f t="shared" si="59"/>
        <v>-76</v>
      </c>
      <c r="U35" s="9">
        <v>-19</v>
      </c>
      <c r="V35" s="9">
        <v>-18</v>
      </c>
      <c r="W35" s="9">
        <v>-19</v>
      </c>
      <c r="X35" s="9">
        <v>-31</v>
      </c>
      <c r="Y35" s="71">
        <f t="shared" si="60"/>
        <v>-87</v>
      </c>
      <c r="AA35" s="9">
        <v>-19</v>
      </c>
      <c r="AB35" s="9">
        <v>-18</v>
      </c>
      <c r="AC35" s="9">
        <v>-19</v>
      </c>
      <c r="AD35" s="9">
        <v>-31</v>
      </c>
      <c r="AE35" s="71">
        <f t="shared" si="61"/>
        <v>-87</v>
      </c>
      <c r="AG35" s="9">
        <v>0</v>
      </c>
      <c r="AH35" s="9">
        <v>-4</v>
      </c>
      <c r="AI35" s="9">
        <v>-1</v>
      </c>
      <c r="AJ35" s="9">
        <v>-3</v>
      </c>
      <c r="AK35" s="71">
        <f t="shared" si="62"/>
        <v>-8</v>
      </c>
      <c r="AM35" s="9">
        <v>-5</v>
      </c>
      <c r="AN35" s="9">
        <v>-6</v>
      </c>
      <c r="AO35" s="9">
        <v>-7</v>
      </c>
      <c r="AP35" s="9">
        <v>0</v>
      </c>
      <c r="AQ35" s="71">
        <f t="shared" si="63"/>
        <v>-18</v>
      </c>
      <c r="AS35" s="9">
        <v>-9</v>
      </c>
      <c r="AT35" s="9">
        <v>-2</v>
      </c>
      <c r="AU35" s="9">
        <v>-3</v>
      </c>
      <c r="AV35" s="9">
        <v>-4</v>
      </c>
      <c r="AW35" s="71">
        <f t="shared" si="64"/>
        <v>-18</v>
      </c>
      <c r="AY35" s="9">
        <v>-13</v>
      </c>
      <c r="AZ35" s="9">
        <v>0</v>
      </c>
      <c r="BA35" s="9">
        <v>-5</v>
      </c>
      <c r="BB35" s="9">
        <v>-12</v>
      </c>
      <c r="BC35" s="71">
        <f t="shared" si="65"/>
        <v>-30</v>
      </c>
      <c r="BE35" s="9">
        <v>-8</v>
      </c>
      <c r="BF35" s="9">
        <v>-12</v>
      </c>
      <c r="BG35" s="9">
        <v>-9</v>
      </c>
      <c r="BH35" s="27">
        <v>-2</v>
      </c>
      <c r="BI35" s="71">
        <f t="shared" si="66"/>
        <v>-31</v>
      </c>
      <c r="BK35" s="9">
        <v>-6</v>
      </c>
      <c r="BL35" s="9">
        <v>-5</v>
      </c>
      <c r="BM35" s="9">
        <v>-2</v>
      </c>
      <c r="BN35" s="27">
        <v>2</v>
      </c>
      <c r="BO35" s="71">
        <f t="shared" si="67"/>
        <v>-11</v>
      </c>
      <c r="BQ35" s="9">
        <v>-8</v>
      </c>
      <c r="BR35" s="9">
        <v>-1</v>
      </c>
      <c r="BS35" s="9">
        <v>3</v>
      </c>
      <c r="BT35" s="27">
        <v>7</v>
      </c>
      <c r="BU35" s="71">
        <f t="shared" si="68"/>
        <v>1</v>
      </c>
      <c r="BW35" s="9">
        <v>-1</v>
      </c>
      <c r="BX35" s="9">
        <v>-4</v>
      </c>
      <c r="BY35" s="9">
        <v>-1</v>
      </c>
      <c r="BZ35" s="27">
        <v>15</v>
      </c>
      <c r="CA35" s="71">
        <f t="shared" si="69"/>
        <v>9</v>
      </c>
      <c r="CC35" s="9">
        <v>-5</v>
      </c>
      <c r="CD35" s="9">
        <v>-1</v>
      </c>
      <c r="CE35" s="9">
        <v>2</v>
      </c>
      <c r="CF35" s="27">
        <v>10</v>
      </c>
      <c r="CG35" s="71">
        <f t="shared" si="70"/>
        <v>6</v>
      </c>
      <c r="CI35" s="9">
        <v>0</v>
      </c>
      <c r="CJ35" s="9">
        <v>-2</v>
      </c>
      <c r="CK35" s="9">
        <v>1</v>
      </c>
      <c r="CL35" s="27">
        <v>22</v>
      </c>
      <c r="CM35" s="71">
        <f t="shared" si="71"/>
        <v>21</v>
      </c>
      <c r="CO35" s="9">
        <v>-1</v>
      </c>
      <c r="CP35" s="9">
        <v>-8</v>
      </c>
      <c r="CQ35" s="9"/>
      <c r="CR35" s="27"/>
      <c r="CS35" s="71">
        <f t="shared" si="72"/>
        <v>-9</v>
      </c>
    </row>
    <row r="36" spans="1:246" hidden="1">
      <c r="A36" s="2" t="s">
        <v>41</v>
      </c>
      <c r="C36" s="9">
        <v>-8</v>
      </c>
      <c r="D36" s="9">
        <v>-9</v>
      </c>
      <c r="E36" s="9">
        <v>-10</v>
      </c>
      <c r="F36" s="9">
        <v>-9</v>
      </c>
      <c r="G36" s="71">
        <f t="shared" si="57"/>
        <v>-36</v>
      </c>
      <c r="H36" s="8"/>
      <c r="I36" s="9">
        <v>-14</v>
      </c>
      <c r="J36" s="9">
        <v>-20</v>
      </c>
      <c r="K36" s="9">
        <v>-13</v>
      </c>
      <c r="L36" s="9">
        <v>-22</v>
      </c>
      <c r="M36" s="71">
        <f t="shared" si="58"/>
        <v>-69</v>
      </c>
      <c r="O36" s="9">
        <v>-4</v>
      </c>
      <c r="P36" s="9">
        <v>-2</v>
      </c>
      <c r="Q36" s="9">
        <v>-6</v>
      </c>
      <c r="R36" s="9">
        <v>3</v>
      </c>
      <c r="S36" s="71">
        <f t="shared" si="59"/>
        <v>-9</v>
      </c>
      <c r="U36" s="9">
        <v>0</v>
      </c>
      <c r="V36" s="9">
        <v>0</v>
      </c>
      <c r="W36" s="9">
        <v>0</v>
      </c>
      <c r="X36" s="9">
        <v>0</v>
      </c>
      <c r="Y36" s="71">
        <f t="shared" si="60"/>
        <v>0</v>
      </c>
      <c r="AA36" s="9"/>
      <c r="AB36" s="9"/>
      <c r="AC36" s="9"/>
      <c r="AD36" s="9"/>
      <c r="AE36" s="71">
        <f t="shared" si="61"/>
        <v>0</v>
      </c>
      <c r="AG36" s="9"/>
      <c r="AH36" s="9"/>
      <c r="AI36" s="9"/>
      <c r="AJ36" s="9"/>
      <c r="AK36" s="71">
        <f t="shared" si="62"/>
        <v>0</v>
      </c>
      <c r="AM36" s="9"/>
      <c r="AN36" s="9"/>
      <c r="AO36" s="9"/>
      <c r="AP36" s="9"/>
      <c r="AQ36" s="71">
        <f t="shared" si="63"/>
        <v>0</v>
      </c>
      <c r="AS36" s="9"/>
      <c r="AT36" s="9"/>
      <c r="AU36" s="9"/>
      <c r="AV36" s="9"/>
      <c r="AW36" s="71">
        <f t="shared" si="64"/>
        <v>0</v>
      </c>
      <c r="AY36" s="9"/>
      <c r="AZ36" s="9"/>
      <c r="BA36" s="9"/>
      <c r="BB36" s="9"/>
      <c r="BC36" s="71">
        <f t="shared" si="65"/>
        <v>0</v>
      </c>
      <c r="BE36" s="9"/>
      <c r="BF36" s="9"/>
      <c r="BG36" s="9"/>
      <c r="BH36" s="27"/>
      <c r="BI36" s="71">
        <f t="shared" si="66"/>
        <v>0</v>
      </c>
      <c r="BK36" s="9"/>
      <c r="BL36" s="9"/>
      <c r="BM36" s="9"/>
      <c r="BN36" s="27"/>
      <c r="BO36" s="71">
        <f t="shared" si="67"/>
        <v>0</v>
      </c>
      <c r="BQ36" s="9"/>
      <c r="BR36" s="9"/>
      <c r="BS36" s="9"/>
      <c r="BT36" s="27"/>
      <c r="BU36" s="71">
        <f t="shared" si="68"/>
        <v>0</v>
      </c>
      <c r="BW36" s="9"/>
      <c r="BX36" s="9"/>
      <c r="BY36" s="9"/>
      <c r="BZ36" s="27"/>
      <c r="CA36" s="71">
        <f t="shared" si="69"/>
        <v>0</v>
      </c>
      <c r="CC36" s="9"/>
      <c r="CD36" s="9"/>
      <c r="CE36" s="9"/>
      <c r="CF36" s="27"/>
      <c r="CG36" s="71">
        <f t="shared" si="70"/>
        <v>0</v>
      </c>
      <c r="CI36" s="9"/>
      <c r="CJ36" s="9"/>
      <c r="CK36" s="9"/>
      <c r="CL36" s="27"/>
      <c r="CM36" s="71">
        <f t="shared" si="71"/>
        <v>0</v>
      </c>
      <c r="CO36" s="9"/>
      <c r="CP36" s="9"/>
      <c r="CQ36" s="9"/>
      <c r="CR36" s="27"/>
      <c r="CS36" s="71">
        <f t="shared" si="72"/>
        <v>0</v>
      </c>
    </row>
    <row r="37" spans="1:246">
      <c r="A37" s="2" t="s">
        <v>96</v>
      </c>
      <c r="C37" s="9">
        <f>-18+10</f>
        <v>-8</v>
      </c>
      <c r="D37" s="9">
        <v>-8</v>
      </c>
      <c r="E37" s="9">
        <f>-34+30</f>
        <v>-4</v>
      </c>
      <c r="F37" s="9">
        <v>-4</v>
      </c>
      <c r="G37" s="71">
        <f t="shared" si="57"/>
        <v>-24</v>
      </c>
      <c r="H37" s="8"/>
      <c r="I37" s="9">
        <v>-3</v>
      </c>
      <c r="J37" s="9">
        <v>-3</v>
      </c>
      <c r="K37" s="9">
        <v>-8</v>
      </c>
      <c r="L37" s="9">
        <v>-7</v>
      </c>
      <c r="M37" s="71">
        <f t="shared" si="58"/>
        <v>-21</v>
      </c>
      <c r="O37" s="9">
        <v>3</v>
      </c>
      <c r="P37" s="9">
        <v>-6</v>
      </c>
      <c r="Q37" s="9">
        <v>-4</v>
      </c>
      <c r="R37" s="9">
        <v>14</v>
      </c>
      <c r="S37" s="71">
        <f t="shared" si="59"/>
        <v>7</v>
      </c>
      <c r="U37" s="9">
        <v>-3</v>
      </c>
      <c r="V37" s="9">
        <v>-5</v>
      </c>
      <c r="W37" s="9">
        <v>-2</v>
      </c>
      <c r="X37" s="9">
        <v>-6</v>
      </c>
      <c r="Y37" s="71">
        <f t="shared" si="60"/>
        <v>-16</v>
      </c>
      <c r="AA37" s="9">
        <v>-7</v>
      </c>
      <c r="AB37" s="9">
        <v>0</v>
      </c>
      <c r="AC37" s="9">
        <v>-3</v>
      </c>
      <c r="AD37" s="9">
        <v>-7</v>
      </c>
      <c r="AE37" s="71">
        <f t="shared" si="61"/>
        <v>-17</v>
      </c>
      <c r="AG37" s="9">
        <v>1</v>
      </c>
      <c r="AH37" s="9">
        <v>-4</v>
      </c>
      <c r="AI37" s="9">
        <v>-3</v>
      </c>
      <c r="AJ37" s="9">
        <v>-1</v>
      </c>
      <c r="AK37" s="71">
        <f t="shared" si="62"/>
        <v>-7</v>
      </c>
      <c r="AM37" s="9">
        <v>-4</v>
      </c>
      <c r="AN37" s="9">
        <v>-5</v>
      </c>
      <c r="AO37" s="9">
        <v>1</v>
      </c>
      <c r="AP37" s="9">
        <v>-4</v>
      </c>
      <c r="AQ37" s="71">
        <f t="shared" si="63"/>
        <v>-12</v>
      </c>
      <c r="AS37" s="9">
        <v>-3</v>
      </c>
      <c r="AT37" s="9">
        <v>-5</v>
      </c>
      <c r="AU37" s="9">
        <v>-6</v>
      </c>
      <c r="AV37" s="9">
        <v>-9</v>
      </c>
      <c r="AW37" s="71">
        <f t="shared" si="64"/>
        <v>-23</v>
      </c>
      <c r="AY37" s="9">
        <v>-6</v>
      </c>
      <c r="AZ37" s="9">
        <v>-14</v>
      </c>
      <c r="BA37" s="9">
        <v>-8</v>
      </c>
      <c r="BB37" s="9">
        <v>-14</v>
      </c>
      <c r="BC37" s="71">
        <f t="shared" si="65"/>
        <v>-42</v>
      </c>
      <c r="BE37" s="9">
        <v>-2</v>
      </c>
      <c r="BF37" s="9">
        <v>-7</v>
      </c>
      <c r="BG37" s="9">
        <v>-6</v>
      </c>
      <c r="BH37" s="27">
        <v>3</v>
      </c>
      <c r="BI37" s="71">
        <f t="shared" si="66"/>
        <v>-12</v>
      </c>
      <c r="BK37" s="9">
        <v>-7</v>
      </c>
      <c r="BL37" s="9">
        <v>-8</v>
      </c>
      <c r="BM37" s="9">
        <v>-12</v>
      </c>
      <c r="BN37" s="27">
        <v>-8</v>
      </c>
      <c r="BO37" s="71">
        <f t="shared" si="67"/>
        <v>-35</v>
      </c>
      <c r="BQ37" s="9">
        <v>-8</v>
      </c>
      <c r="BR37" s="9">
        <v>-12</v>
      </c>
      <c r="BS37" s="9">
        <v>-9</v>
      </c>
      <c r="BT37" s="27">
        <v>-8</v>
      </c>
      <c r="BU37" s="71">
        <f t="shared" si="68"/>
        <v>-37</v>
      </c>
      <c r="BW37" s="9">
        <f>-6+1</f>
        <v>-5</v>
      </c>
      <c r="BX37" s="9">
        <v>-10</v>
      </c>
      <c r="BY37" s="9">
        <v>-9</v>
      </c>
      <c r="BZ37" s="27">
        <v>-11</v>
      </c>
      <c r="CA37" s="71">
        <f t="shared" si="69"/>
        <v>-35</v>
      </c>
      <c r="CC37" s="9">
        <v>-9</v>
      </c>
      <c r="CD37" s="9">
        <v>-14</v>
      </c>
      <c r="CE37" s="9">
        <v>-20</v>
      </c>
      <c r="CF37" s="27">
        <v>-10</v>
      </c>
      <c r="CG37" s="71">
        <f t="shared" si="70"/>
        <v>-53</v>
      </c>
      <c r="CI37" s="9">
        <v>-8</v>
      </c>
      <c r="CJ37" s="9">
        <v>-8</v>
      </c>
      <c r="CK37" s="9">
        <v>-6</v>
      </c>
      <c r="CL37" s="27">
        <v>-13</v>
      </c>
      <c r="CM37" s="71">
        <f t="shared" si="71"/>
        <v>-35</v>
      </c>
      <c r="CO37" s="9">
        <v>-6</v>
      </c>
      <c r="CP37" s="9">
        <v>-8</v>
      </c>
      <c r="CQ37" s="9"/>
      <c r="CR37" s="27"/>
      <c r="CS37" s="71">
        <f t="shared" si="72"/>
        <v>-14</v>
      </c>
    </row>
    <row r="38" spans="1:246" s="154" customFormat="1" ht="18.75" customHeight="1">
      <c r="B38" s="155"/>
      <c r="C38" s="158">
        <f>SUM(C30:C37)</f>
        <v>37</v>
      </c>
      <c r="D38" s="158">
        <f>SUM(D30:D37)</f>
        <v>169</v>
      </c>
      <c r="E38" s="158">
        <f>SUM(E30:E37)</f>
        <v>53</v>
      </c>
      <c r="F38" s="158">
        <f>SUM(F30:F37)</f>
        <v>56</v>
      </c>
      <c r="G38" s="159">
        <f>SUM(G30:G37)</f>
        <v>315</v>
      </c>
      <c r="H38" s="156"/>
      <c r="I38" s="158">
        <f>SUM(I30:I37)</f>
        <v>66</v>
      </c>
      <c r="J38" s="158">
        <f>SUM(J30:J37)</f>
        <v>86</v>
      </c>
      <c r="K38" s="158">
        <f>SUM(K30:K37)</f>
        <v>95</v>
      </c>
      <c r="L38" s="158">
        <f>SUM(L30:L37)</f>
        <v>-79</v>
      </c>
      <c r="M38" s="159">
        <f>SUM(M30:M37)</f>
        <v>168</v>
      </c>
      <c r="O38" s="158">
        <f>SUM(O30:O37)</f>
        <v>66</v>
      </c>
      <c r="P38" s="158">
        <f>SUM(P30:P37)</f>
        <v>101</v>
      </c>
      <c r="Q38" s="158">
        <f>SUM(Q30:Q37)</f>
        <v>108</v>
      </c>
      <c r="R38" s="158">
        <f>SUM(R30:R37)</f>
        <v>111</v>
      </c>
      <c r="S38" s="159">
        <f>SUM(S30:S37)</f>
        <v>386</v>
      </c>
      <c r="U38" s="158">
        <f>SUM(U30:U37)</f>
        <v>71</v>
      </c>
      <c r="V38" s="158">
        <f>SUM(V30:V37)</f>
        <v>149</v>
      </c>
      <c r="W38" s="158">
        <f>SUM(W30:W37)</f>
        <v>271</v>
      </c>
      <c r="X38" s="158">
        <f>SUM(X30:X37)</f>
        <v>125</v>
      </c>
      <c r="Y38" s="159">
        <f>SUM(Y30:Y37)</f>
        <v>616</v>
      </c>
      <c r="AA38" s="158">
        <f>SUM(AA30:AA37)</f>
        <v>68</v>
      </c>
      <c r="AB38" s="158">
        <f>SUM(AB30:AB37)</f>
        <v>-37</v>
      </c>
      <c r="AC38" s="158">
        <f>SUM(AC30:AC37)</f>
        <v>263</v>
      </c>
      <c r="AD38" s="158">
        <f>SUM(AD30:AD37)</f>
        <v>139</v>
      </c>
      <c r="AE38" s="159">
        <f>SUM(AE30:AE37)</f>
        <v>433</v>
      </c>
      <c r="AG38" s="158">
        <f>SUM(AG30:AG37)</f>
        <v>125</v>
      </c>
      <c r="AH38" s="158">
        <f>SUM(AH30:AH37)</f>
        <v>174</v>
      </c>
      <c r="AI38" s="158">
        <f>SUM(AI30:AI37)</f>
        <v>190</v>
      </c>
      <c r="AJ38" s="158">
        <f>SUM(AJ30:AJ37)</f>
        <v>224</v>
      </c>
      <c r="AK38" s="159">
        <f>SUM(AK30:AK37)</f>
        <v>713</v>
      </c>
      <c r="AM38" s="158">
        <f>SUM(AM30:AM37)</f>
        <v>176</v>
      </c>
      <c r="AN38" s="158">
        <f>SUM(AN30:AN37)</f>
        <v>373</v>
      </c>
      <c r="AO38" s="158">
        <f>SUM(AO30:AO37)</f>
        <v>255</v>
      </c>
      <c r="AP38" s="158">
        <f>SUM(AP30:AP37)</f>
        <v>218</v>
      </c>
      <c r="AQ38" s="159">
        <f>SUM(AQ30:AQ37)</f>
        <v>1022</v>
      </c>
      <c r="AS38" s="158">
        <f>SUM(AS30:AS37)</f>
        <v>256</v>
      </c>
      <c r="AT38" s="158">
        <f>SUM(AT30:AT37)</f>
        <v>397</v>
      </c>
      <c r="AU38" s="158">
        <f>SUM(AU30:AU37)</f>
        <v>333</v>
      </c>
      <c r="AV38" s="158">
        <f>SUM(AV30:AV37)</f>
        <v>447</v>
      </c>
      <c r="AW38" s="159">
        <f>SUM(AW30:AW37)</f>
        <v>1433</v>
      </c>
      <c r="AY38" s="158">
        <f>SUM(AY30:AY37)</f>
        <v>305</v>
      </c>
      <c r="AZ38" s="158">
        <f>SUM(AZ30:AZ37)</f>
        <v>461</v>
      </c>
      <c r="BA38" s="158">
        <f>SUM(BA30:BA37)</f>
        <v>329</v>
      </c>
      <c r="BB38" s="158">
        <f>SUM(BB30:BB37)</f>
        <v>123</v>
      </c>
      <c r="BC38" s="159">
        <f>SUM(BC30:BC37)</f>
        <v>1218</v>
      </c>
      <c r="BE38" s="158">
        <f>SUM(BE30:BE37)</f>
        <v>127</v>
      </c>
      <c r="BF38" s="158">
        <f>SUM(BF30:BF37)</f>
        <v>237</v>
      </c>
      <c r="BG38" s="158">
        <f>SUM(BG30:BG37)</f>
        <v>225</v>
      </c>
      <c r="BH38" s="158">
        <f>SUM(BH30:BH37)</f>
        <v>194</v>
      </c>
      <c r="BI38" s="159">
        <f>SUM(BI30:BI37)</f>
        <v>783</v>
      </c>
      <c r="BK38" s="158">
        <f>SUM(BK30:BK37)</f>
        <v>213</v>
      </c>
      <c r="BL38" s="158">
        <f>SUM(BL30:BL37)</f>
        <v>258</v>
      </c>
      <c r="BM38" s="158">
        <f>SUM(BM30:BM37)</f>
        <v>250</v>
      </c>
      <c r="BN38" s="158">
        <f>SUM(BN30:BN37)</f>
        <v>178</v>
      </c>
      <c r="BO38" s="159">
        <f>SUM(BO30:BO37)</f>
        <v>899</v>
      </c>
      <c r="BQ38" s="158">
        <f>SUM(BQ30:BQ37)</f>
        <v>216</v>
      </c>
      <c r="BR38" s="158">
        <f>SUM(BR30:BR37)</f>
        <v>210</v>
      </c>
      <c r="BS38" s="158">
        <f>SUM(BS30:BS37)</f>
        <v>312</v>
      </c>
      <c r="BT38" s="158">
        <f>SUM(BT30:BT37)</f>
        <v>265</v>
      </c>
      <c r="BU38" s="159">
        <f>SUM(BU30:BU37)</f>
        <v>1003</v>
      </c>
      <c r="BW38" s="158">
        <f>SUM(BW30:BW37)</f>
        <v>228</v>
      </c>
      <c r="BX38" s="158">
        <f>SUM(BX30:BX37)</f>
        <v>229</v>
      </c>
      <c r="BY38" s="158">
        <f>SUM(BY30:BY37)</f>
        <v>239</v>
      </c>
      <c r="BZ38" s="158">
        <f>SUM(BZ30:BZ37)</f>
        <v>313</v>
      </c>
      <c r="CA38" s="159">
        <f>SUM(CA30:CA37)</f>
        <v>1009</v>
      </c>
      <c r="CC38" s="158">
        <f>SUM(CC30:CC37)</f>
        <v>217</v>
      </c>
      <c r="CD38" s="158">
        <f>SUM(CD30:CD37)</f>
        <v>279</v>
      </c>
      <c r="CE38" s="158">
        <f>SUM(CE30:CE37)</f>
        <v>241</v>
      </c>
      <c r="CF38" s="158">
        <f>SUM(CF30:CF37)</f>
        <v>366</v>
      </c>
      <c r="CG38" s="159">
        <f>SUM(CG30:CG37)</f>
        <v>1103</v>
      </c>
      <c r="CI38" s="158">
        <f>SUM(CI30:CI37)</f>
        <v>296</v>
      </c>
      <c r="CJ38" s="158">
        <f>SUM(CJ30:CJ37)</f>
        <v>222</v>
      </c>
      <c r="CK38" s="158">
        <f>SUM(CK30:CK37)</f>
        <v>226</v>
      </c>
      <c r="CL38" s="158">
        <f>SUM(CL30:CL37)</f>
        <v>317</v>
      </c>
      <c r="CM38" s="159">
        <f>SUM(CM30:CM37)</f>
        <v>1061</v>
      </c>
      <c r="CO38" s="158">
        <f>SUM(CO30:CO37)</f>
        <v>245</v>
      </c>
      <c r="CP38" s="158">
        <f>SUM(CP30:CP37)</f>
        <v>407</v>
      </c>
      <c r="CQ38" s="158"/>
      <c r="CR38" s="158"/>
      <c r="CS38" s="159">
        <f>SUM(CS30:CS37)</f>
        <v>652</v>
      </c>
    </row>
    <row r="39" spans="1:246" s="164" customFormat="1" ht="18.75" customHeight="1">
      <c r="A39" s="164" t="s">
        <v>42</v>
      </c>
      <c r="B39" s="177"/>
      <c r="C39" s="178" t="s">
        <v>63</v>
      </c>
      <c r="D39" s="178">
        <f>D38/D13</f>
        <v>0.10047562425683709</v>
      </c>
      <c r="E39" s="178">
        <f>E38/E13</f>
        <v>3.2695866748920423E-2</v>
      </c>
      <c r="F39" s="178">
        <f>F38/F13</f>
        <v>3.533123028391167E-2</v>
      </c>
      <c r="G39" s="179">
        <f>G38/G13</f>
        <v>4.9019607843137254E-2</v>
      </c>
      <c r="H39" s="39"/>
      <c r="I39" s="178">
        <f>I38/I13</f>
        <v>4.8852701702442637E-2</v>
      </c>
      <c r="J39" s="178">
        <f>J38/J13</f>
        <v>5.6209150326797387E-2</v>
      </c>
      <c r="K39" s="178">
        <f>K38/K13</f>
        <v>6.25E-2</v>
      </c>
      <c r="L39" s="178">
        <f>L38/L13</f>
        <v>-5.3091397849462367E-2</v>
      </c>
      <c r="M39" s="179">
        <f>M38/M13</f>
        <v>2.8527763627101375E-2</v>
      </c>
      <c r="O39" s="178">
        <f>O38/O13</f>
        <v>4.9475262368815595E-2</v>
      </c>
      <c r="P39" s="178">
        <f>P38/P13</f>
        <v>6.8801089918256134E-2</v>
      </c>
      <c r="Q39" s="178">
        <f>Q38/Q13</f>
        <v>7.0496083550913843E-2</v>
      </c>
      <c r="R39" s="178">
        <f>R38/R13</f>
        <v>7.449664429530202E-2</v>
      </c>
      <c r="S39" s="179">
        <f>S38/S13</f>
        <v>6.6277472527472528E-2</v>
      </c>
      <c r="U39" s="178">
        <f>U38/U13</f>
        <v>4.9650349650349652E-2</v>
      </c>
      <c r="V39" s="178">
        <f>V38/V13</f>
        <v>7.4499999999999997E-2</v>
      </c>
      <c r="W39" s="178">
        <f>W38/W13</f>
        <v>0.12687265917602997</v>
      </c>
      <c r="X39" s="178">
        <f>X38/X13</f>
        <v>5.7897174617878647E-2</v>
      </c>
      <c r="Y39" s="179">
        <f>Y38/Y13</f>
        <v>7.9741100323624595E-2</v>
      </c>
      <c r="AA39" s="178">
        <f>AA38/AA13</f>
        <v>5.2147239263803678E-2</v>
      </c>
      <c r="AB39" s="178">
        <f>AB38/AB13</f>
        <v>-1.9946091644204852E-2</v>
      </c>
      <c r="AC39" s="178">
        <f>AC38/AC13</f>
        <v>0.13302984319676278</v>
      </c>
      <c r="AD39" s="178">
        <f>AD38/AD13</f>
        <v>6.9430569430569425E-2</v>
      </c>
      <c r="AE39" s="179">
        <f>AE38/AE13</f>
        <v>6.0661249649761835E-2</v>
      </c>
      <c r="AG39" s="178">
        <f>AG38/AG13</f>
        <v>6.6988210075026797E-2</v>
      </c>
      <c r="AH39" s="178">
        <f>AH38/AH13</f>
        <v>7.5916230366492143E-2</v>
      </c>
      <c r="AI39" s="178">
        <f>AI38/AI13</f>
        <v>8.5163603765127743E-2</v>
      </c>
      <c r="AJ39" s="178">
        <f>AJ38/AJ13</f>
        <v>9.4875052943667937E-2</v>
      </c>
      <c r="AK39" s="179">
        <f>AK38/AK13</f>
        <v>8.1485714285714286E-2</v>
      </c>
      <c r="AM39" s="178">
        <f>AM38/AM13</f>
        <v>7.2968490878938641E-2</v>
      </c>
      <c r="AN39" s="178">
        <f>AN38/AN13</f>
        <v>0.13147691223123018</v>
      </c>
      <c r="AO39" s="178">
        <f>AO38/AO13</f>
        <v>9.4339622641509441E-2</v>
      </c>
      <c r="AP39" s="178">
        <f>AP38/AP13</f>
        <v>7.6143904994760744E-2</v>
      </c>
      <c r="AQ39" s="179">
        <f>AQ38/AQ13</f>
        <v>9.4498381877022655E-2</v>
      </c>
      <c r="AS39" s="178">
        <f>AS38/AS13</f>
        <v>8.1789137380191695E-2</v>
      </c>
      <c r="AT39" s="178">
        <f>AT38/AT13</f>
        <v>0.10991140642303433</v>
      </c>
      <c r="AU39" s="178">
        <f>AU38/AU13</f>
        <v>9.9225268176400483E-2</v>
      </c>
      <c r="AV39" s="178">
        <f>AV38/AV13</f>
        <v>0.13043478260869565</v>
      </c>
      <c r="AW39" s="179">
        <f>AW38/AW13</f>
        <v>0.10595194085027726</v>
      </c>
      <c r="AY39" s="178">
        <f>AY38/AY13</f>
        <v>9.0612002376708259E-2</v>
      </c>
      <c r="AZ39" s="178">
        <f>AZ38/AZ13</f>
        <v>0.12166798627606229</v>
      </c>
      <c r="BA39" s="178">
        <f>BA38/BA13</f>
        <v>9.3253968253968256E-2</v>
      </c>
      <c r="BB39" s="178">
        <f>BB38/BB13</f>
        <v>3.9109697933227348E-2</v>
      </c>
      <c r="BC39" s="179">
        <f>BC38/BC13</f>
        <v>8.8082152155047735E-2</v>
      </c>
      <c r="BE39" s="178">
        <f>BE38/BE13</f>
        <v>4.8197343453510434E-2</v>
      </c>
      <c r="BF39" s="178">
        <f>BF38/BF13</f>
        <v>7.5381679389312978E-2</v>
      </c>
      <c r="BG39" s="178">
        <f>BG38/BG13</f>
        <v>7.5478027507547799E-2</v>
      </c>
      <c r="BH39" s="178">
        <f>BH38/BH13</f>
        <v>6.6279467031089848E-2</v>
      </c>
      <c r="BI39" s="179">
        <f>BI38/BI13</f>
        <v>6.699751861042183E-2</v>
      </c>
      <c r="BK39" s="178">
        <f>BK38/BK13</f>
        <v>6.9562377531025468E-2</v>
      </c>
      <c r="BL39" s="178">
        <f>BL38/BL13</f>
        <v>7.0976616231086656E-2</v>
      </c>
      <c r="BM39" s="178">
        <f>BM38/BM13</f>
        <v>6.7114093959731544E-2</v>
      </c>
      <c r="BN39" s="178">
        <f>BN38/BN13</f>
        <v>4.4179697195333829E-2</v>
      </c>
      <c r="BO39" s="179">
        <f>BO38/BO13</f>
        <v>6.2210227665905476E-2</v>
      </c>
      <c r="BQ39" s="178">
        <f>BQ38/BQ13</f>
        <v>5.7233704292527825E-2</v>
      </c>
      <c r="BR39" s="178">
        <f>BR38/BR13</f>
        <v>5.2290836653386456E-2</v>
      </c>
      <c r="BS39" s="178">
        <f>BS38/BS13</f>
        <v>7.9754601226993863E-2</v>
      </c>
      <c r="BT39" s="178">
        <f>BT38/BT13</f>
        <v>6.791389031266018E-2</v>
      </c>
      <c r="BU39" s="179">
        <f>BU38/BU13</f>
        <v>6.4278390156370158E-2</v>
      </c>
      <c r="BW39" s="178">
        <f>BW38/BW13</f>
        <v>6.4570943075615977E-2</v>
      </c>
      <c r="BX39" s="178">
        <f>BX38/BX13</f>
        <v>5.8657786885245901E-2</v>
      </c>
      <c r="BY39" s="178">
        <f>BY38/BY13</f>
        <v>6.2631027253668758E-2</v>
      </c>
      <c r="BZ39" s="178">
        <f>BZ38/BZ13</f>
        <v>7.8210894552723634E-2</v>
      </c>
      <c r="CA39" s="179">
        <f>CA38/CA13</f>
        <v>6.6150921130269449E-2</v>
      </c>
      <c r="CC39" s="178">
        <f>CC38/CC13</f>
        <v>6.1840980336278141E-2</v>
      </c>
      <c r="CD39" s="178">
        <f>CD38/CD13</f>
        <v>6.9093610698365532E-2</v>
      </c>
      <c r="CE39" s="178">
        <f>CE38/CE13</f>
        <v>5.9112092224675006E-2</v>
      </c>
      <c r="CF39" s="178">
        <f>CF38/CF13</f>
        <v>8.7455197132616486E-2</v>
      </c>
      <c r="CG39" s="179">
        <f>CG38/CG13</f>
        <v>6.9770383958504656E-2</v>
      </c>
      <c r="CI39" s="178">
        <f>CI38/CI13</f>
        <v>7.6584734799482537E-2</v>
      </c>
      <c r="CJ39" s="178">
        <f>CJ38/CJ13</f>
        <v>5.5114200595829194E-2</v>
      </c>
      <c r="CK39" s="178">
        <f>CK38/CK13</f>
        <v>5.7273188038520023E-2</v>
      </c>
      <c r="CL39" s="178">
        <f>CL38/CL13</f>
        <v>7.8777335984095434E-2</v>
      </c>
      <c r="CM39" s="179">
        <f>CM38/CM13</f>
        <v>6.6885204564079939E-2</v>
      </c>
      <c r="CO39" s="178">
        <f>CO38/CO13</f>
        <v>5.8837656099903941E-2</v>
      </c>
      <c r="CP39" s="178">
        <f>CP38/CP13</f>
        <v>9.1031089241780369E-2</v>
      </c>
      <c r="CQ39" s="178"/>
      <c r="CR39" s="178"/>
      <c r="CS39" s="179">
        <f>CS38/CS13</f>
        <v>7.5506658946149385E-2</v>
      </c>
    </row>
    <row r="40" spans="1:246" s="6" customFormat="1" ht="18.75" customHeight="1">
      <c r="A40" s="6" t="s">
        <v>100</v>
      </c>
      <c r="B40" s="1"/>
      <c r="C40" s="47">
        <f>C31/C6</f>
        <v>1.5850144092219021E-2</v>
      </c>
      <c r="D40" s="47">
        <f>D31/D6</f>
        <v>0.18424396442185514</v>
      </c>
      <c r="E40" s="47">
        <f>E31/E6</f>
        <v>5.3020961775585698E-2</v>
      </c>
      <c r="F40" s="47">
        <f>F31/F6</f>
        <v>7.0950468540829981E-2</v>
      </c>
      <c r="G40" s="171">
        <f>G31/G6</f>
        <v>8.2922013820335636E-2</v>
      </c>
      <c r="H40" s="8"/>
      <c r="I40" s="47">
        <f>I31/I6</f>
        <v>-6.7453625632377737E-3</v>
      </c>
      <c r="J40" s="47">
        <f>J31/J6</f>
        <v>6.8399452804377564E-2</v>
      </c>
      <c r="K40" s="47">
        <f>K31/K6</f>
        <v>4.5395590142671853E-2</v>
      </c>
      <c r="L40" s="47">
        <f>L31/L6</f>
        <v>-0.12827586206896552</v>
      </c>
      <c r="M40" s="171">
        <f>M31/M6</f>
        <v>-4.2553191489361703E-3</v>
      </c>
      <c r="O40" s="47">
        <f>O31/O6</f>
        <v>3.2200357781753133E-2</v>
      </c>
      <c r="P40" s="47">
        <f>P31/P6</f>
        <v>7.1220930232558141E-2</v>
      </c>
      <c r="Q40" s="47">
        <f>Q31/Q6</f>
        <v>8.6049543676662316E-2</v>
      </c>
      <c r="R40" s="47">
        <f>R31/R6</f>
        <v>4.6875E-2</v>
      </c>
      <c r="S40" s="171">
        <f>S31/S6</f>
        <v>6.1074319352465045E-2</v>
      </c>
      <c r="U40" s="47">
        <f>U31/U6</f>
        <v>3.273809523809524E-2</v>
      </c>
      <c r="V40" s="47">
        <f>V31/V6</f>
        <v>7.7669902912621352E-2</v>
      </c>
      <c r="W40" s="47">
        <f>W31/W6</f>
        <v>7.6754385964912283E-2</v>
      </c>
      <c r="X40" s="47">
        <f>X31/X6</f>
        <v>3.7117903930131008E-2</v>
      </c>
      <c r="Y40" s="171">
        <f>Y31/Y6</f>
        <v>5.7160048134777375E-2</v>
      </c>
      <c r="AA40" s="47">
        <f>AA31/AA6</f>
        <v>3.8062283737024222E-2</v>
      </c>
      <c r="AB40" s="47">
        <f>AB31/AB6</f>
        <v>8.3791208791208785E-2</v>
      </c>
      <c r="AC40" s="47">
        <f>AC31/AC6</f>
        <v>7.6827757125154897E-2</v>
      </c>
      <c r="AD40" s="47">
        <f>AD31/AD6</f>
        <v>5.3593179049939099E-2</v>
      </c>
      <c r="AE40" s="171">
        <f>AE31/AE6</f>
        <v>6.4417177914110432E-2</v>
      </c>
      <c r="AG40" s="47">
        <f>AG31/AG6</f>
        <v>3.5714285714285712E-2</v>
      </c>
      <c r="AH40" s="47">
        <f>AH31/AH6</f>
        <v>7.1264367816091953E-2</v>
      </c>
      <c r="AI40" s="47">
        <f>AI31/AI6</f>
        <v>8.2809224318658281E-2</v>
      </c>
      <c r="AJ40" s="47">
        <f>AJ31/AJ6</f>
        <v>7.3515551366635248E-2</v>
      </c>
      <c r="AK40" s="171">
        <f>AK31/AK6</f>
        <v>6.857466704448853E-2</v>
      </c>
      <c r="AM40" s="47">
        <f>AM31/AM6</f>
        <v>6.0019361084220714E-2</v>
      </c>
      <c r="AN40" s="47">
        <f>AN31/AN6</f>
        <v>7.2104879825200294E-2</v>
      </c>
      <c r="AO40" s="47">
        <f>AO31/AO6</f>
        <v>8.6330935251798566E-2</v>
      </c>
      <c r="AP40" s="47">
        <f>AP31/AP6</f>
        <v>5.5706521739130432E-2</v>
      </c>
      <c r="AQ40" s="171">
        <f>AQ31/AQ6</f>
        <v>6.8906605922551253E-2</v>
      </c>
      <c r="AS40" s="47">
        <f>AS31/AS6</f>
        <v>6.3321385902031069E-2</v>
      </c>
      <c r="AT40" s="47">
        <f>AT31/AT6</f>
        <v>9.521484375E-2</v>
      </c>
      <c r="AU40" s="47">
        <f>AU31/AU6</f>
        <v>9.4587759231158322E-2</v>
      </c>
      <c r="AV40" s="47">
        <f>AV31/AV6</f>
        <v>0.12</v>
      </c>
      <c r="AW40" s="171">
        <f>AW31/AW6</f>
        <v>9.4307450157397693E-2</v>
      </c>
      <c r="AY40" s="47">
        <f>AY31/AY6</f>
        <v>6.6271551724137928E-2</v>
      </c>
      <c r="AZ40" s="47">
        <f>AZ31/AZ6</f>
        <v>9.1082498807820697E-2</v>
      </c>
      <c r="BA40" s="47">
        <f>BA31/BA6</f>
        <v>7.8498293515358364E-2</v>
      </c>
      <c r="BB40" s="47">
        <f>BB31/BB6</f>
        <v>1.70261066969353E-2</v>
      </c>
      <c r="BC40" s="171">
        <f>BC31/BC6</f>
        <v>6.5027040947720841E-2</v>
      </c>
      <c r="BE40" s="47">
        <f>BE31/BE6</f>
        <v>1.1811023622047244E-2</v>
      </c>
      <c r="BF40" s="47">
        <f>BF31/BF6</f>
        <v>8.1414935429533972E-2</v>
      </c>
      <c r="BG40" s="47">
        <f>BG31/BG6</f>
        <v>6.9289489136817387E-2</v>
      </c>
      <c r="BH40" s="47">
        <f>BH31/BH6</f>
        <v>5.8317986494782072E-2</v>
      </c>
      <c r="BI40" s="171">
        <f>BI31/BI6</f>
        <v>5.8436471878427071E-2</v>
      </c>
      <c r="BK40" s="47">
        <f>BK31/BK6</f>
        <v>3.7406483790523692E-2</v>
      </c>
      <c r="BL40" s="47">
        <f>BL31/BL6</f>
        <v>3.9396887159533073E-2</v>
      </c>
      <c r="BM40" s="47">
        <f>BM31/BM6</f>
        <v>6.1525129982668979E-2</v>
      </c>
      <c r="BN40" s="47">
        <f>BN31/BN6</f>
        <v>1.8025078369905956E-2</v>
      </c>
      <c r="BO40" s="171">
        <f>BO31/BO6</f>
        <v>3.8615023474178403E-2</v>
      </c>
      <c r="BQ40" s="47">
        <f>BQ31/BQ6</f>
        <v>1.330885727397889E-2</v>
      </c>
      <c r="BR40" s="47">
        <f>BR31/BR6</f>
        <v>3.8860103626943004E-3</v>
      </c>
      <c r="BS40" s="47">
        <f>BS31/BS6</f>
        <v>3.0135823429541596E-2</v>
      </c>
      <c r="BT40" s="47">
        <f>BT31/BT6</f>
        <v>3.2632990612427359E-2</v>
      </c>
      <c r="BU40" s="171">
        <f>BU31/BU6</f>
        <v>2.0026408450704226E-2</v>
      </c>
      <c r="BW40" s="47">
        <f>BW31/BW6</f>
        <v>2.1230266739248774E-2</v>
      </c>
      <c r="BX40" s="47">
        <f>BX31/BX6</f>
        <v>2.0842982862436313E-2</v>
      </c>
      <c r="BY40" s="47">
        <f>BY31/BY6</f>
        <v>4.5838896306186025E-2</v>
      </c>
      <c r="BZ40" s="47">
        <f>BZ31/BZ6</f>
        <v>4.5116075339465614E-2</v>
      </c>
      <c r="CA40" s="171">
        <f>CA31/CA6</f>
        <v>3.4013605442176874E-2</v>
      </c>
      <c r="CC40" s="47">
        <f>CC31/CC6</f>
        <v>2.3902167871039465E-2</v>
      </c>
      <c r="CD40" s="47">
        <f>CD31/CD6</f>
        <v>3.1291908806437195E-2</v>
      </c>
      <c r="CE40" s="47">
        <f>CE31/CE6</f>
        <v>4.1938110749185666E-2</v>
      </c>
      <c r="CF40" s="47">
        <f>CF31/CF6</f>
        <v>6.2625451625853076E-2</v>
      </c>
      <c r="CG40" s="171">
        <f>CG31/CG6</f>
        <v>4.1411555159746184E-2</v>
      </c>
      <c r="CI40" s="47">
        <f>CI31/CI6</f>
        <v>-2.9069767441860465E-3</v>
      </c>
      <c r="CJ40" s="47">
        <f>CJ31/CJ6</f>
        <v>6.3723258989531175E-3</v>
      </c>
      <c r="CK40" s="47">
        <f>CK31/CK6</f>
        <v>3.875968992248062E-2</v>
      </c>
      <c r="CL40" s="47">
        <f>CL31/CL6</f>
        <v>3.7587006960556842E-2</v>
      </c>
      <c r="CM40" s="171">
        <f>CM31/CM6</f>
        <v>2.0485236896314946E-2</v>
      </c>
      <c r="CO40" s="47">
        <f>CO31/CO6</f>
        <v>3.0395136778115502E-2</v>
      </c>
      <c r="CP40" s="47">
        <f>CP31/CP6</f>
        <v>8.2837891399128019E-2</v>
      </c>
      <c r="CQ40" s="47"/>
      <c r="CR40" s="47"/>
      <c r="CS40" s="171">
        <f>CS31/CS6</f>
        <v>5.7811852465810193E-2</v>
      </c>
      <c r="IL40" s="44"/>
    </row>
    <row r="41" spans="1:246" s="6" customFormat="1" ht="18.75" customHeight="1">
      <c r="A41" s="6" t="s">
        <v>101</v>
      </c>
      <c r="B41" s="1"/>
      <c r="C41" s="47"/>
      <c r="D41" s="47"/>
      <c r="E41" s="47"/>
      <c r="F41" s="47"/>
      <c r="G41" s="171"/>
      <c r="H41" s="8"/>
      <c r="I41" s="47"/>
      <c r="J41" s="47"/>
      <c r="K41" s="47"/>
      <c r="L41" s="47"/>
      <c r="M41" s="171"/>
      <c r="O41" s="47">
        <f>+O31/O15</f>
        <v>3.1914893617021274E-2</v>
      </c>
      <c r="P41" s="47">
        <f>+P31/P15</f>
        <v>7.040229885057471E-2</v>
      </c>
      <c r="Q41" s="47">
        <f>+Q31/Q15</f>
        <v>8.5714285714285715E-2</v>
      </c>
      <c r="R41" s="47">
        <f>+R31/R15</f>
        <v>4.6875E-2</v>
      </c>
      <c r="S41" s="171">
        <f>+S31/S15</f>
        <v>6.0716898317483538E-2</v>
      </c>
      <c r="U41" s="47" t="s">
        <v>63</v>
      </c>
      <c r="V41" s="47"/>
      <c r="W41" s="47"/>
      <c r="X41" s="47"/>
      <c r="Y41" s="171"/>
      <c r="AA41" s="47">
        <f>+AA31/AA15</f>
        <v>3.5087719298245612E-2</v>
      </c>
      <c r="AB41" s="47">
        <f>+AB31/AB15</f>
        <v>8.3106267029972758E-2</v>
      </c>
      <c r="AC41" s="47">
        <f>+AC31/AC15</f>
        <v>7.5334143377885784E-2</v>
      </c>
      <c r="AD41" s="47">
        <f>+AD31/AD15</f>
        <v>5.4455445544554455E-2</v>
      </c>
      <c r="AE41" s="171">
        <f>+AE31/AE15</f>
        <v>6.3168449197860965E-2</v>
      </c>
      <c r="AG41" s="47">
        <f>+AG31/AG15</f>
        <v>4.0564373897707229E-2</v>
      </c>
      <c r="AH41" s="47">
        <f>+AH31/AH15</f>
        <v>8.3557951482479784E-2</v>
      </c>
      <c r="AI41" s="47">
        <f>+AI31/AI15</f>
        <v>9.8750000000000004E-2</v>
      </c>
      <c r="AJ41" s="47">
        <f>+AJ31/AJ15</f>
        <v>9.1764705882352943E-2</v>
      </c>
      <c r="AK41" s="171">
        <f>+AK31/AK15</f>
        <v>8.1784386617100371E-2</v>
      </c>
      <c r="AM41" s="47">
        <f>+AM31/AM15</f>
        <v>8.0519480519480519E-2</v>
      </c>
      <c r="AN41" s="47">
        <f>+AN31/AN15</f>
        <v>0.11073825503355705</v>
      </c>
      <c r="AO41" s="47">
        <f>+AO31/AO15</f>
        <v>0.13872832369942195</v>
      </c>
      <c r="AP41" s="47">
        <f>+AP31/AP15</f>
        <v>8.8744588744588751E-2</v>
      </c>
      <c r="AQ41" s="171">
        <f>+AQ31/AQ15</f>
        <v>0.10512597741094701</v>
      </c>
      <c r="AS41" s="47">
        <f>+AS31/AS15</f>
        <v>9.7876269621421971E-2</v>
      </c>
      <c r="AT41" s="47">
        <f>+AT31/AT15</f>
        <v>0.14942528735632185</v>
      </c>
      <c r="AU41" s="47">
        <f>+AU31/AU15</f>
        <v>0.15080645161290324</v>
      </c>
      <c r="AV41" s="47">
        <f>+AV31/AV15</f>
        <v>0.18203309692671396</v>
      </c>
      <c r="AW41" s="171">
        <f>+AW31/AW15</f>
        <v>0.1468245864815193</v>
      </c>
      <c r="AY41" s="47">
        <f>+AY31/AY15</f>
        <v>0.10344827586206896</v>
      </c>
      <c r="AZ41" s="49">
        <f>+AZ31/AZ15</f>
        <v>0.13750899928005761</v>
      </c>
      <c r="BA41" s="49">
        <f>+BA31/BA15</f>
        <v>0.12041884816753927</v>
      </c>
      <c r="BB41" s="49">
        <f>+BB31/BB15</f>
        <v>2.3148148148148147E-2</v>
      </c>
      <c r="BC41" s="171">
        <f>BC31/BC15</f>
        <v>9.691038188447515E-2</v>
      </c>
      <c r="BE41" s="47">
        <f>+BE31/BE15</f>
        <v>1.5337423312883436E-2</v>
      </c>
      <c r="BF41" s="47">
        <f>+BF31/BF15</f>
        <v>0.1091867469879518</v>
      </c>
      <c r="BG41" s="47">
        <f>+BG31/BG15</f>
        <v>9.9578059071729952E-2</v>
      </c>
      <c r="BH41" s="47">
        <f>+BH31/BH15</f>
        <v>8.2251082251082255E-2</v>
      </c>
      <c r="BI41" s="171">
        <f>BI31/BI15</f>
        <v>8.0284115368058545E-2</v>
      </c>
      <c r="BK41" s="47">
        <f>+BK31/BK15</f>
        <v>5.7915057915057917E-2</v>
      </c>
      <c r="BL41" s="47">
        <f>+BL31/BL15</f>
        <v>5.8951965065502182E-2</v>
      </c>
      <c r="BM41" s="47">
        <f>+BM31/BM15</f>
        <v>9.3053735255570119E-2</v>
      </c>
      <c r="BN41" s="47">
        <f>+BN31/BN15</f>
        <v>2.8553693358162633E-2</v>
      </c>
      <c r="BO41" s="171">
        <f>BO31/BO15</f>
        <v>5.9311339462772672E-2</v>
      </c>
      <c r="BQ41" s="47">
        <f>+BQ31/BQ15</f>
        <v>2.2870662460567823E-2</v>
      </c>
      <c r="BR41" s="47">
        <f>+BR31/BR15</f>
        <v>6.5359477124183009E-3</v>
      </c>
      <c r="BS41" s="47">
        <f>+BS31/BS15</f>
        <v>4.8266485384092457E-2</v>
      </c>
      <c r="BT41" s="47">
        <f>+BT31/BT15</f>
        <v>4.8057932850559579E-2</v>
      </c>
      <c r="BU41" s="171">
        <f>BU31/BU15</f>
        <v>3.2298136645962733E-2</v>
      </c>
      <c r="BW41" s="47">
        <f>+BW31/BW15</f>
        <v>3.5071942446043163E-2</v>
      </c>
      <c r="BX41" s="47">
        <f>+BX31/BX15</f>
        <v>3.3733133433283359E-2</v>
      </c>
      <c r="BY41" s="47">
        <f>+BY31/BY15</f>
        <v>7.0211315610088615E-2</v>
      </c>
      <c r="BZ41" s="47">
        <f>+BZ31/BZ15</f>
        <v>6.830238726790451E-2</v>
      </c>
      <c r="CA41" s="171">
        <f>CA31/CA15</f>
        <v>5.3495665006456375E-2</v>
      </c>
      <c r="CC41" s="47">
        <f>+CC31/CC15</f>
        <v>3.7423846823324627E-2</v>
      </c>
      <c r="CD41" s="47">
        <f>+CD31/CD15</f>
        <v>4.784688995215311E-2</v>
      </c>
      <c r="CE41" s="47">
        <f>+CE31/CE15</f>
        <v>6.2010836845273934E-2</v>
      </c>
      <c r="CF41" s="47">
        <f>+CF31/CF15</f>
        <v>8.9449541284403675E-2</v>
      </c>
      <c r="CG41" s="171">
        <f>CG31/CG15</f>
        <v>6.1824829649326909E-2</v>
      </c>
      <c r="CI41" s="47">
        <f>+CI31/CI15</f>
        <v>-4.3541364296081275E-3</v>
      </c>
      <c r="CJ41" s="47">
        <f>+CJ31/CJ15</f>
        <v>9.2961487383798145E-3</v>
      </c>
      <c r="CK41" s="47">
        <f>+CK31/CK15</f>
        <v>5.431502715751358E-2</v>
      </c>
      <c r="CL41" s="47">
        <f>+CL31/CL15</f>
        <v>5.3500660501981503E-2</v>
      </c>
      <c r="CM41" s="171">
        <f>CM31/CM15</f>
        <v>2.9562345169281586E-2</v>
      </c>
      <c r="CO41" s="47">
        <f>+CO31/CO15</f>
        <v>4.3370508054522923E-2</v>
      </c>
      <c r="CP41" s="47">
        <f>+CP31/CP15</f>
        <v>0.12039170506912443</v>
      </c>
      <c r="CQ41" s="47"/>
      <c r="CR41" s="47"/>
      <c r="CS41" s="171">
        <f>CS31/CS15</f>
        <v>8.3283582089552236E-2</v>
      </c>
      <c r="IL41" s="44"/>
    </row>
    <row r="42" spans="1:246" s="6" customFormat="1" ht="18.75" customHeight="1">
      <c r="A42" s="6" t="s">
        <v>181</v>
      </c>
      <c r="B42" s="1"/>
      <c r="C42" s="47">
        <f>C32/C7</f>
        <v>6.0565275908479141E-2</v>
      </c>
      <c r="D42" s="47">
        <f>D32/D7</f>
        <v>3.8199181446111868E-2</v>
      </c>
      <c r="E42" s="47">
        <f>E32/E7</f>
        <v>3.81791483113069E-2</v>
      </c>
      <c r="F42" s="47">
        <f>F32/F7</f>
        <v>4.5454545454545456E-2</v>
      </c>
      <c r="G42" s="171">
        <f>G32/G7</f>
        <v>4.5785639958376693E-2</v>
      </c>
      <c r="H42" s="8"/>
      <c r="I42" s="47">
        <f>I32/I7</f>
        <v>5.5800293685756244E-2</v>
      </c>
      <c r="J42" s="47">
        <f>J32/J7</f>
        <v>8.3565459610027856E-2</v>
      </c>
      <c r="K42" s="47">
        <f>K32/K7</f>
        <v>8.4848484848484854E-2</v>
      </c>
      <c r="L42" s="47">
        <f>L32/L7</f>
        <v>8.9020771513353122E-2</v>
      </c>
      <c r="M42" s="171">
        <f>M32/M7</f>
        <v>7.8302231979509695E-2</v>
      </c>
      <c r="O42" s="47">
        <f>O32/O7</f>
        <v>0.10401188707280833</v>
      </c>
      <c r="P42" s="47">
        <f>P32/P7</f>
        <v>0.10480349344978165</v>
      </c>
      <c r="Q42" s="47">
        <f>Q32/Q7</f>
        <v>8.9802130898021304E-2</v>
      </c>
      <c r="R42" s="47">
        <f>R32/R7</f>
        <v>0.10964912280701754</v>
      </c>
      <c r="S42" s="171">
        <f>S32/S7</f>
        <v>0.1021843761569789</v>
      </c>
      <c r="U42" s="47">
        <f>U32/U7</f>
        <v>0.10953058321479374</v>
      </c>
      <c r="V42" s="47">
        <f>V32/V7</f>
        <v>9.0661831368993653E-2</v>
      </c>
      <c r="W42" s="47">
        <f>W32/W7</f>
        <v>8.1081081081081086E-2</v>
      </c>
      <c r="X42" s="47">
        <f>X32/X7</f>
        <v>8.7219343696027629E-2</v>
      </c>
      <c r="Y42" s="171">
        <f>Y32/Y7</f>
        <v>9.0245682315738263E-2</v>
      </c>
      <c r="AA42" s="47">
        <f>AA32/AA7</f>
        <v>0.10953058321479374</v>
      </c>
      <c r="AB42" s="47">
        <f>AB32/AB7</f>
        <v>-7.4342701722574803E-2</v>
      </c>
      <c r="AC42" s="47">
        <f>AC32/AC7</f>
        <v>8.1081081081081086E-2</v>
      </c>
      <c r="AD42" s="47">
        <f>AD32/AD7</f>
        <v>8.7219343696027629E-2</v>
      </c>
      <c r="AE42" s="171">
        <f>AE32/AE7</f>
        <v>4.5974215519338363E-2</v>
      </c>
      <c r="AG42" s="47">
        <f>AG32/AG7</f>
        <v>8.4518828451882841E-2</v>
      </c>
      <c r="AH42" s="47">
        <f>AH32/AH7</f>
        <v>8.5365853658536592E-2</v>
      </c>
      <c r="AI42" s="47">
        <f>AI32/AI7</f>
        <v>9.1419406575781875E-2</v>
      </c>
      <c r="AJ42" s="47">
        <f>AJ32/AJ7</f>
        <v>0.10571652310101801</v>
      </c>
      <c r="AK42" s="171">
        <f>AK32/AK7</f>
        <v>9.1726970467435942E-2</v>
      </c>
      <c r="AM42" s="47">
        <f>AM32/AM7</f>
        <v>8.6474501108647447E-2</v>
      </c>
      <c r="AN42" s="47">
        <f>AN32/AN7</f>
        <v>0.18706536856745479</v>
      </c>
      <c r="AO42" s="47">
        <f>AO32/AO7</f>
        <v>9.7523219814241488E-2</v>
      </c>
      <c r="AP42" s="47">
        <f>AP32/AP7</f>
        <v>9.1445427728613568E-2</v>
      </c>
      <c r="AQ42" s="171">
        <f>AQ32/AQ7</f>
        <v>0.11693325979040264</v>
      </c>
      <c r="AS42" s="47">
        <f>AS32/AS7</f>
        <v>0.10195530726256984</v>
      </c>
      <c r="AT42" s="47">
        <f>AT32/AT7</f>
        <v>0.11372549019607843</v>
      </c>
      <c r="AU42" s="47">
        <f>AU32/AU7</f>
        <v>9.9480326651818857E-2</v>
      </c>
      <c r="AV42" s="47">
        <f>AV32/AV7</f>
        <v>0.12203389830508475</v>
      </c>
      <c r="AW42" s="171">
        <f>AW32/AW7</f>
        <v>0.10961272475795297</v>
      </c>
      <c r="AY42" s="47">
        <f>AY32/AY7</f>
        <v>0.10384356035064059</v>
      </c>
      <c r="AZ42" s="47">
        <f>AZ32/AZ7</f>
        <v>0.11789859499083689</v>
      </c>
      <c r="BA42" s="47">
        <f>BA32/BA7</f>
        <v>7.3632538569424963E-2</v>
      </c>
      <c r="BB42" s="47">
        <f>BB32/BB7</f>
        <v>8.3083832335329344E-2</v>
      </c>
      <c r="BC42" s="171">
        <f>BC32/BC7</f>
        <v>9.5715742944576673E-2</v>
      </c>
      <c r="BE42" s="47">
        <f>BE32/BE7</f>
        <v>6.4491654021244307E-2</v>
      </c>
      <c r="BF42" s="47">
        <f>BF32/BF7</f>
        <v>5.1359516616314202E-2</v>
      </c>
      <c r="BG42" s="47">
        <f>BG32/BG7</f>
        <v>6.6827697262479877E-2</v>
      </c>
      <c r="BH42" s="47">
        <f>BH32/BH7</f>
        <v>6.4593301435406703E-2</v>
      </c>
      <c r="BI42" s="171">
        <f>BI32/BI7</f>
        <v>6.1697158427403656E-2</v>
      </c>
      <c r="BK42" s="47">
        <f>BK32/BK7</f>
        <v>0.10578279266572638</v>
      </c>
      <c r="BL42" s="47">
        <f>BL32/BL7</f>
        <v>0.10900783289817233</v>
      </c>
      <c r="BM42" s="47">
        <f>BM32/BM7</f>
        <v>7.5801749271137031E-2</v>
      </c>
      <c r="BN42" s="47">
        <f>BN32/BN7</f>
        <v>7.3684210526315783E-2</v>
      </c>
      <c r="BO42" s="171">
        <f>BO32/BO7</f>
        <v>9.1526013572298587E-2</v>
      </c>
      <c r="BQ42" s="47">
        <f>BQ32/BQ7</f>
        <v>0.11275773195876289</v>
      </c>
      <c r="BR42" s="47">
        <f>BR32/BR7</f>
        <v>0.11689884918231375</v>
      </c>
      <c r="BS42" s="47">
        <f>BS32/BS7</f>
        <v>0.10459693537641572</v>
      </c>
      <c r="BT42" s="47">
        <f>BT32/BT7</f>
        <v>0.10854647535870243</v>
      </c>
      <c r="BU42" s="171">
        <f>BU32/BU7</f>
        <v>0.11082923735531949</v>
      </c>
      <c r="BW42" s="47">
        <f>BW32/BW7</f>
        <v>0.11919315403422982</v>
      </c>
      <c r="BX42" s="47">
        <f>BX32/BX7</f>
        <v>0.11695215593620792</v>
      </c>
      <c r="BY42" s="47">
        <f>BY32/BY7</f>
        <v>9.6242584047462096E-2</v>
      </c>
      <c r="BZ42" s="47">
        <f>BZ32/BZ7</f>
        <v>0.12522796352583587</v>
      </c>
      <c r="CA42" s="171">
        <f>CA32/CA7</f>
        <v>0.11477430288091203</v>
      </c>
      <c r="CC42" s="47">
        <f>CC32/CC7</f>
        <v>0.113595166163142</v>
      </c>
      <c r="CD42" s="47">
        <f>CD32/CD7</f>
        <v>0.12866168868466399</v>
      </c>
      <c r="CE42" s="47">
        <f>CE32/CE7</f>
        <v>0.10025706940874037</v>
      </c>
      <c r="CF42" s="47">
        <f>CF32/CF7</f>
        <v>0.1305158483530143</v>
      </c>
      <c r="CG42" s="171">
        <f>CG32/CG7</f>
        <v>0.11857948483462886</v>
      </c>
      <c r="CI42" s="47">
        <f>CI32/CI7</f>
        <v>0.178468624064479</v>
      </c>
      <c r="CJ42" s="47">
        <f>CJ32/CJ7</f>
        <v>0.1236528644356211</v>
      </c>
      <c r="CK42" s="47">
        <f>CK32/CK7</f>
        <v>9.0442591404746628E-2</v>
      </c>
      <c r="CL42" s="47">
        <f>CL32/CL7</f>
        <v>0.12774338773213281</v>
      </c>
      <c r="CM42" s="171">
        <f>CM32/CM7</f>
        <v>0.13107080163838503</v>
      </c>
      <c r="CO42" s="47">
        <f>CO32/CO7</f>
        <v>0.10133630289532294</v>
      </c>
      <c r="CP42" s="47">
        <f>CP32/CP7</f>
        <v>0.11346765641569459</v>
      </c>
      <c r="CQ42" s="47"/>
      <c r="CR42" s="47"/>
      <c r="CS42" s="171">
        <f>CS32/CS7</f>
        <v>0.10755024443237371</v>
      </c>
      <c r="IL42" s="44"/>
    </row>
    <row r="43" spans="1:246" s="1" customFormat="1" ht="18.75" hidden="1" customHeight="1">
      <c r="C43" s="8"/>
      <c r="D43" s="8"/>
      <c r="E43" s="8"/>
      <c r="F43" s="8"/>
      <c r="G43" s="79"/>
      <c r="H43" s="8"/>
      <c r="I43" s="8"/>
      <c r="J43" s="8"/>
      <c r="K43" s="8"/>
      <c r="L43" s="8"/>
      <c r="M43" s="79"/>
      <c r="O43" s="8"/>
      <c r="P43" s="8"/>
      <c r="Q43" s="8"/>
      <c r="R43" s="8"/>
      <c r="S43" s="79"/>
      <c r="U43" s="8"/>
      <c r="V43" s="8"/>
      <c r="W43" s="8"/>
      <c r="X43" s="8"/>
      <c r="Y43" s="79"/>
      <c r="AA43" s="8"/>
      <c r="AB43" s="8"/>
      <c r="AC43" s="8"/>
      <c r="AD43" s="8"/>
      <c r="AE43" s="79"/>
      <c r="AG43" s="8"/>
      <c r="AH43" s="8"/>
      <c r="AI43" s="8"/>
      <c r="AJ43" s="8"/>
      <c r="AK43" s="79"/>
      <c r="AM43" s="8"/>
      <c r="AN43" s="8"/>
      <c r="AO43" s="8"/>
      <c r="AP43" s="8"/>
      <c r="AQ43" s="79"/>
      <c r="AS43" s="8"/>
      <c r="AT43" s="8"/>
      <c r="AU43" s="8"/>
      <c r="AV43" s="8"/>
      <c r="AW43" s="79"/>
      <c r="BC43" s="69"/>
      <c r="BI43" s="69"/>
      <c r="BO43" s="69"/>
      <c r="BU43" s="69"/>
      <c r="CA43" s="69"/>
      <c r="CG43" s="69"/>
      <c r="CM43" s="69"/>
      <c r="CS43" s="69"/>
      <c r="IL43" s="4"/>
    </row>
    <row r="44" spans="1:246" hidden="1">
      <c r="A44" s="41" t="s">
        <v>3</v>
      </c>
      <c r="C44" s="9"/>
      <c r="D44" s="9"/>
      <c r="E44" s="9"/>
      <c r="F44" s="9"/>
      <c r="G44" s="71"/>
      <c r="H44" s="8"/>
      <c r="I44" s="9"/>
      <c r="J44" s="9"/>
      <c r="K44" s="9"/>
      <c r="L44" s="9"/>
      <c r="M44" s="71"/>
      <c r="O44" s="9"/>
      <c r="P44" s="9"/>
      <c r="Q44" s="9"/>
      <c r="R44" s="9"/>
      <c r="S44" s="71"/>
      <c r="U44" s="9"/>
      <c r="V44" s="9"/>
      <c r="W44" s="9"/>
      <c r="X44" s="9"/>
      <c r="Y44" s="71"/>
      <c r="AA44" s="38"/>
      <c r="AB44" s="38"/>
      <c r="AC44" s="38"/>
      <c r="AD44" s="38"/>
      <c r="AE44" s="79"/>
      <c r="AG44" s="38"/>
      <c r="AH44" s="38"/>
      <c r="AI44" s="38"/>
      <c r="AJ44" s="38"/>
      <c r="AK44" s="79"/>
      <c r="AM44" s="38"/>
      <c r="AN44" s="38"/>
      <c r="AO44" s="38"/>
      <c r="AP44" s="38"/>
      <c r="AQ44" s="79"/>
      <c r="AS44" s="38"/>
      <c r="AT44" s="38"/>
      <c r="AU44" s="38"/>
      <c r="AV44" s="38"/>
      <c r="AW44" s="79"/>
      <c r="BC44" s="123"/>
      <c r="BI44" s="123"/>
      <c r="BO44" s="123"/>
      <c r="BU44" s="123"/>
      <c r="CA44" s="123"/>
      <c r="CG44" s="123"/>
      <c r="CM44" s="123"/>
      <c r="CS44" s="123"/>
    </row>
    <row r="45" spans="1:246" hidden="1">
      <c r="A45" s="2" t="s">
        <v>131</v>
      </c>
      <c r="C45" s="9">
        <f>C61+2</f>
        <v>-29</v>
      </c>
      <c r="D45" s="9">
        <v>104</v>
      </c>
      <c r="E45" s="9">
        <v>0</v>
      </c>
      <c r="F45" s="9">
        <v>7</v>
      </c>
      <c r="G45" s="71">
        <f>SUM(C45:F45)</f>
        <v>82</v>
      </c>
      <c r="H45" s="8"/>
      <c r="I45" s="9">
        <f>I61+2</f>
        <v>-45</v>
      </c>
      <c r="J45" s="9">
        <f>J61+2</f>
        <v>9</v>
      </c>
      <c r="K45" s="9">
        <f>K61+2</f>
        <v>-5</v>
      </c>
      <c r="L45" s="9">
        <f>L61+27</f>
        <v>-658</v>
      </c>
      <c r="M45" s="71">
        <f>SUM(I45:L45)</f>
        <v>-699</v>
      </c>
      <c r="O45" s="9">
        <v>2</v>
      </c>
      <c r="P45" s="9">
        <v>33</v>
      </c>
      <c r="Q45" s="9">
        <v>51</v>
      </c>
      <c r="R45" s="9">
        <v>18</v>
      </c>
      <c r="S45" s="71">
        <f>SUM(O45:R45)</f>
        <v>104</v>
      </c>
      <c r="U45" s="9">
        <v>7</v>
      </c>
      <c r="V45" s="9">
        <v>49</v>
      </c>
      <c r="W45" s="9">
        <v>58</v>
      </c>
      <c r="X45" s="9">
        <v>3</v>
      </c>
      <c r="Y45" s="71">
        <f>SUM(U45:X45)</f>
        <v>117</v>
      </c>
      <c r="AA45" s="38"/>
      <c r="AB45" s="38"/>
      <c r="AC45" s="38"/>
      <c r="AD45" s="38"/>
      <c r="AE45" s="79"/>
      <c r="AG45" s="38"/>
      <c r="AH45" s="38"/>
      <c r="AI45" s="38"/>
      <c r="AJ45" s="38"/>
      <c r="AK45" s="79"/>
      <c r="AM45" s="38"/>
      <c r="AN45" s="38"/>
      <c r="AO45" s="38"/>
      <c r="AP45" s="38"/>
      <c r="AQ45" s="79"/>
      <c r="AS45" s="38"/>
      <c r="AT45" s="38"/>
      <c r="AU45" s="38"/>
      <c r="AV45" s="38"/>
      <c r="AW45" s="79"/>
      <c r="BC45" s="123"/>
      <c r="BI45" s="123"/>
      <c r="BO45" s="123"/>
      <c r="BU45" s="123"/>
      <c r="CA45" s="123"/>
      <c r="CG45" s="123"/>
      <c r="CM45" s="123"/>
      <c r="CS45" s="123"/>
    </row>
    <row r="46" spans="1:246" hidden="1">
      <c r="A46" s="2" t="s">
        <v>35</v>
      </c>
      <c r="C46" s="9">
        <v>29</v>
      </c>
      <c r="D46" s="9">
        <v>13</v>
      </c>
      <c r="E46" s="9">
        <v>7</v>
      </c>
      <c r="F46" s="9">
        <v>18</v>
      </c>
      <c r="G46" s="71">
        <f t="shared" ref="G46:G51" si="73">SUM(C46:F46)</f>
        <v>67</v>
      </c>
      <c r="H46" s="8"/>
      <c r="I46" s="9">
        <v>22</v>
      </c>
      <c r="J46" s="9">
        <f>J62+14</f>
        <v>45</v>
      </c>
      <c r="K46" s="9">
        <f>K62+15</f>
        <v>41</v>
      </c>
      <c r="L46" s="9">
        <v>45</v>
      </c>
      <c r="M46" s="71">
        <f t="shared" ref="M46:M51" si="74">SUM(I46:L46)</f>
        <v>153</v>
      </c>
      <c r="O46" s="9">
        <v>56</v>
      </c>
      <c r="P46" s="9">
        <v>58</v>
      </c>
      <c r="Q46" s="9">
        <v>46</v>
      </c>
      <c r="R46" s="9">
        <v>58</v>
      </c>
      <c r="S46" s="71">
        <f t="shared" ref="S46:S51" si="75">SUM(O46:R46)</f>
        <v>218</v>
      </c>
      <c r="U46" s="9">
        <v>62</v>
      </c>
      <c r="V46" s="9">
        <v>74</v>
      </c>
      <c r="W46" s="9">
        <v>65</v>
      </c>
      <c r="X46" s="9">
        <v>67</v>
      </c>
      <c r="Y46" s="71">
        <f t="shared" ref="Y46:Y51" si="76">SUM(U46:X46)</f>
        <v>268</v>
      </c>
      <c r="AA46" s="38"/>
      <c r="AB46" s="38"/>
      <c r="AC46" s="38"/>
      <c r="AD46" s="38"/>
      <c r="AE46" s="79"/>
      <c r="AG46" s="38"/>
      <c r="AH46" s="38"/>
      <c r="AI46" s="38"/>
      <c r="AJ46" s="38"/>
      <c r="AK46" s="79"/>
      <c r="AM46" s="38"/>
      <c r="AN46" s="38"/>
      <c r="AO46" s="38"/>
      <c r="AP46" s="38"/>
      <c r="AQ46" s="79"/>
      <c r="AS46" s="38"/>
      <c r="AT46" s="38"/>
      <c r="AU46" s="38"/>
      <c r="AV46" s="38"/>
      <c r="AW46" s="79"/>
      <c r="BC46" s="123"/>
      <c r="BI46" s="123"/>
      <c r="BO46" s="123"/>
      <c r="BU46" s="123"/>
      <c r="CA46" s="123"/>
      <c r="CG46" s="123"/>
      <c r="CM46" s="123"/>
      <c r="CS46" s="123"/>
    </row>
    <row r="47" spans="1:246" hidden="1">
      <c r="A47" s="2" t="s">
        <v>36</v>
      </c>
      <c r="C47" s="9">
        <f t="shared" ref="C47:F49" si="77">C63</f>
        <v>6</v>
      </c>
      <c r="D47" s="9">
        <f t="shared" si="77"/>
        <v>6</v>
      </c>
      <c r="E47" s="9">
        <f t="shared" si="77"/>
        <v>5</v>
      </c>
      <c r="F47" s="9">
        <f t="shared" si="77"/>
        <v>5</v>
      </c>
      <c r="G47" s="71">
        <f t="shared" si="73"/>
        <v>22</v>
      </c>
      <c r="H47" s="8"/>
      <c r="I47" s="9">
        <f t="shared" ref="I47:L50" si="78">I63</f>
        <v>61</v>
      </c>
      <c r="J47" s="9">
        <f t="shared" si="78"/>
        <v>13</v>
      </c>
      <c r="K47" s="9">
        <f t="shared" si="78"/>
        <v>41</v>
      </c>
      <c r="L47" s="9">
        <f t="shared" si="78"/>
        <v>16</v>
      </c>
      <c r="M47" s="71">
        <f t="shared" si="74"/>
        <v>131</v>
      </c>
      <c r="O47" s="9">
        <v>0</v>
      </c>
      <c r="P47" s="9">
        <v>0</v>
      </c>
      <c r="Q47" s="9">
        <v>-2</v>
      </c>
      <c r="R47" s="9">
        <v>2</v>
      </c>
      <c r="S47" s="71">
        <f t="shared" si="75"/>
        <v>0</v>
      </c>
      <c r="U47" s="9">
        <v>-1</v>
      </c>
      <c r="V47" s="9">
        <v>0</v>
      </c>
      <c r="W47" s="9">
        <v>136</v>
      </c>
      <c r="X47" s="9">
        <v>43</v>
      </c>
      <c r="Y47" s="71">
        <f t="shared" si="76"/>
        <v>178</v>
      </c>
      <c r="AA47" s="38"/>
      <c r="AB47" s="38"/>
      <c r="AC47" s="38"/>
      <c r="AD47" s="38"/>
      <c r="AE47" s="79"/>
      <c r="AG47" s="38"/>
      <c r="AH47" s="38"/>
      <c r="AI47" s="38"/>
      <c r="AJ47" s="38"/>
      <c r="AK47" s="79"/>
      <c r="AM47" s="38"/>
      <c r="AN47" s="38"/>
      <c r="AO47" s="38"/>
      <c r="AP47" s="38"/>
      <c r="AQ47" s="79"/>
      <c r="AS47" s="38"/>
      <c r="AT47" s="38"/>
      <c r="AU47" s="38"/>
      <c r="AV47" s="38"/>
      <c r="AW47" s="79"/>
      <c r="BC47" s="123"/>
      <c r="BI47" s="123"/>
      <c r="BO47" s="123"/>
      <c r="BU47" s="123"/>
      <c r="CA47" s="123"/>
      <c r="CG47" s="123"/>
      <c r="CM47" s="123"/>
      <c r="CS47" s="123"/>
    </row>
    <row r="48" spans="1:246" hidden="1">
      <c r="A48" s="2" t="s">
        <v>37</v>
      </c>
      <c r="C48" s="9">
        <f t="shared" si="77"/>
        <v>-19</v>
      </c>
      <c r="D48" s="9">
        <f t="shared" si="77"/>
        <v>-4</v>
      </c>
      <c r="E48" s="9">
        <f t="shared" si="77"/>
        <v>-15</v>
      </c>
      <c r="F48" s="9">
        <f t="shared" si="77"/>
        <v>-17</v>
      </c>
      <c r="G48" s="71">
        <f t="shared" si="73"/>
        <v>-55</v>
      </c>
      <c r="H48" s="8"/>
      <c r="I48" s="9">
        <f t="shared" si="78"/>
        <v>-8</v>
      </c>
      <c r="J48" s="9">
        <f t="shared" si="78"/>
        <v>-12</v>
      </c>
      <c r="K48" s="9">
        <f t="shared" si="78"/>
        <v>-12</v>
      </c>
      <c r="L48" s="9">
        <f t="shared" si="78"/>
        <v>-136</v>
      </c>
      <c r="M48" s="71">
        <f t="shared" si="74"/>
        <v>-168</v>
      </c>
      <c r="O48" s="9">
        <v>-13</v>
      </c>
      <c r="P48" s="9">
        <v>-6</v>
      </c>
      <c r="Q48" s="9">
        <v>1</v>
      </c>
      <c r="R48" s="9">
        <v>-14</v>
      </c>
      <c r="S48" s="71">
        <f t="shared" si="75"/>
        <v>-32</v>
      </c>
      <c r="U48" s="9">
        <v>-17</v>
      </c>
      <c r="V48" s="9">
        <v>-4</v>
      </c>
      <c r="W48" s="9">
        <v>-15</v>
      </c>
      <c r="X48" s="9">
        <v>-25</v>
      </c>
      <c r="Y48" s="71">
        <f t="shared" si="76"/>
        <v>-61</v>
      </c>
      <c r="AA48" s="38"/>
      <c r="AB48" s="38"/>
      <c r="AC48" s="38"/>
      <c r="AD48" s="38"/>
      <c r="AE48" s="79"/>
      <c r="AG48" s="38"/>
      <c r="AH48" s="38"/>
      <c r="AI48" s="38"/>
      <c r="AJ48" s="38"/>
      <c r="AK48" s="79"/>
      <c r="AM48" s="38"/>
      <c r="AN48" s="38"/>
      <c r="AO48" s="38"/>
      <c r="AP48" s="38"/>
      <c r="AQ48" s="79"/>
      <c r="AS48" s="38"/>
      <c r="AT48" s="38"/>
      <c r="AU48" s="38"/>
      <c r="AV48" s="38"/>
      <c r="AW48" s="79"/>
      <c r="BC48" s="123"/>
      <c r="BI48" s="123"/>
      <c r="BO48" s="123"/>
      <c r="BU48" s="123"/>
      <c r="CA48" s="123"/>
      <c r="CG48" s="123"/>
      <c r="CM48" s="123"/>
      <c r="CS48" s="123"/>
    </row>
    <row r="49" spans="1:246" hidden="1">
      <c r="A49" s="2" t="s">
        <v>128</v>
      </c>
      <c r="C49" s="9">
        <f t="shared" si="77"/>
        <v>-11</v>
      </c>
      <c r="D49" s="9">
        <f t="shared" si="77"/>
        <v>-11</v>
      </c>
      <c r="E49" s="9">
        <f t="shared" si="77"/>
        <v>-17</v>
      </c>
      <c r="F49" s="9">
        <f t="shared" si="77"/>
        <v>-29</v>
      </c>
      <c r="G49" s="71">
        <f t="shared" si="73"/>
        <v>-68</v>
      </c>
      <c r="H49" s="8"/>
      <c r="I49" s="9">
        <v>-30</v>
      </c>
      <c r="J49" s="9">
        <v>-28</v>
      </c>
      <c r="K49" s="9">
        <v>-30</v>
      </c>
      <c r="L49" s="9">
        <v>-58</v>
      </c>
      <c r="M49" s="71">
        <f t="shared" si="74"/>
        <v>-146</v>
      </c>
      <c r="O49" s="9">
        <v>-29</v>
      </c>
      <c r="P49" s="9">
        <v>-27</v>
      </c>
      <c r="Q49" s="9">
        <v>-30</v>
      </c>
      <c r="R49" s="9">
        <v>-49</v>
      </c>
      <c r="S49" s="71">
        <f t="shared" si="75"/>
        <v>-135</v>
      </c>
      <c r="U49" s="9">
        <v>-27</v>
      </c>
      <c r="V49" s="9">
        <v>-26</v>
      </c>
      <c r="W49" s="9">
        <v>-94</v>
      </c>
      <c r="X49" s="9">
        <v>-13</v>
      </c>
      <c r="Y49" s="71">
        <f t="shared" si="76"/>
        <v>-160</v>
      </c>
      <c r="AA49" s="38"/>
      <c r="AB49" s="38"/>
      <c r="AC49" s="38"/>
      <c r="AD49" s="38"/>
      <c r="AE49" s="79"/>
      <c r="AG49" s="38"/>
      <c r="AH49" s="38"/>
      <c r="AI49" s="38"/>
      <c r="AJ49" s="38"/>
      <c r="AK49" s="79"/>
      <c r="AM49" s="38"/>
      <c r="AN49" s="38"/>
      <c r="AO49" s="38"/>
      <c r="AP49" s="38"/>
      <c r="AQ49" s="79"/>
      <c r="AS49" s="38"/>
      <c r="AT49" s="38"/>
      <c r="AU49" s="38"/>
      <c r="AV49" s="38"/>
      <c r="AW49" s="79"/>
      <c r="BC49" s="123"/>
      <c r="BI49" s="123"/>
      <c r="BO49" s="123"/>
      <c r="BU49" s="123"/>
      <c r="CA49" s="123"/>
      <c r="CG49" s="123"/>
      <c r="CM49" s="123"/>
      <c r="CS49" s="123"/>
    </row>
    <row r="50" spans="1:246" hidden="1">
      <c r="A50" s="2" t="s">
        <v>41</v>
      </c>
      <c r="C50" s="9">
        <f>C66</f>
        <v>-9</v>
      </c>
      <c r="D50" s="9">
        <f>D66</f>
        <v>-9</v>
      </c>
      <c r="E50" s="9">
        <f>E66</f>
        <v>-11</v>
      </c>
      <c r="F50" s="9">
        <f>F66</f>
        <v>-13</v>
      </c>
      <c r="G50" s="71">
        <f t="shared" si="73"/>
        <v>-42</v>
      </c>
      <c r="H50" s="8"/>
      <c r="I50" s="9">
        <f t="shared" si="78"/>
        <v>-16</v>
      </c>
      <c r="J50" s="9">
        <f t="shared" si="78"/>
        <v>-22</v>
      </c>
      <c r="K50" s="9">
        <f t="shared" si="78"/>
        <v>-15</v>
      </c>
      <c r="L50" s="9">
        <f t="shared" si="78"/>
        <v>-28</v>
      </c>
      <c r="M50" s="71">
        <f t="shared" si="74"/>
        <v>-81</v>
      </c>
      <c r="O50" s="9">
        <v>-4</v>
      </c>
      <c r="P50" s="9">
        <v>-3</v>
      </c>
      <c r="Q50" s="9">
        <v>-6</v>
      </c>
      <c r="R50" s="9">
        <v>2</v>
      </c>
      <c r="S50" s="71">
        <f t="shared" si="75"/>
        <v>-11</v>
      </c>
      <c r="U50" s="9">
        <v>0</v>
      </c>
      <c r="V50" s="9">
        <v>0</v>
      </c>
      <c r="W50" s="9">
        <v>0</v>
      </c>
      <c r="X50" s="9">
        <v>0</v>
      </c>
      <c r="Y50" s="71">
        <f t="shared" si="76"/>
        <v>0</v>
      </c>
      <c r="AA50" s="38"/>
      <c r="AB50" s="38"/>
      <c r="AC50" s="38"/>
      <c r="AD50" s="38"/>
      <c r="AE50" s="79"/>
      <c r="AG50" s="38"/>
      <c r="AH50" s="38"/>
      <c r="AI50" s="38"/>
      <c r="AJ50" s="38"/>
      <c r="AK50" s="79"/>
      <c r="AM50" s="38"/>
      <c r="AN50" s="38"/>
      <c r="AO50" s="38"/>
      <c r="AP50" s="38"/>
      <c r="AQ50" s="79"/>
      <c r="AS50" s="38"/>
      <c r="AT50" s="38"/>
      <c r="AU50" s="38"/>
      <c r="AV50" s="38"/>
      <c r="AW50" s="79"/>
      <c r="BC50" s="123"/>
      <c r="BI50" s="123"/>
      <c r="BO50" s="123"/>
      <c r="BU50" s="123"/>
      <c r="CA50" s="123"/>
      <c r="CG50" s="123"/>
      <c r="CM50" s="123"/>
      <c r="CS50" s="123"/>
    </row>
    <row r="51" spans="1:246" hidden="1">
      <c r="A51" s="2" t="s">
        <v>38</v>
      </c>
      <c r="C51" s="9">
        <v>-5</v>
      </c>
      <c r="D51" s="9">
        <v>-6</v>
      </c>
      <c r="E51" s="9">
        <v>0</v>
      </c>
      <c r="F51" s="9">
        <v>-5</v>
      </c>
      <c r="G51" s="71">
        <f t="shared" si="73"/>
        <v>-16</v>
      </c>
      <c r="H51" s="8"/>
      <c r="I51" s="9">
        <v>0</v>
      </c>
      <c r="J51" s="9">
        <v>-2</v>
      </c>
      <c r="K51" s="9">
        <v>-5</v>
      </c>
      <c r="L51" s="9">
        <v>12</v>
      </c>
      <c r="M51" s="71">
        <f t="shared" si="74"/>
        <v>5</v>
      </c>
      <c r="O51" s="9">
        <v>2</v>
      </c>
      <c r="P51" s="9">
        <v>-5</v>
      </c>
      <c r="Q51" s="9">
        <v>-4</v>
      </c>
      <c r="R51" s="9">
        <v>12</v>
      </c>
      <c r="S51" s="71">
        <f t="shared" si="75"/>
        <v>5</v>
      </c>
      <c r="U51" s="9">
        <v>-5</v>
      </c>
      <c r="V51" s="9">
        <v>-5</v>
      </c>
      <c r="W51" s="9">
        <v>-3</v>
      </c>
      <c r="X51" s="9">
        <v>-5</v>
      </c>
      <c r="Y51" s="71">
        <f t="shared" si="76"/>
        <v>-18</v>
      </c>
      <c r="AA51" s="38"/>
      <c r="AB51" s="38"/>
      <c r="AC51" s="38"/>
      <c r="AD51" s="38"/>
      <c r="AE51" s="79"/>
      <c r="AG51" s="38"/>
      <c r="AH51" s="38"/>
      <c r="AI51" s="38"/>
      <c r="AJ51" s="38"/>
      <c r="AK51" s="79"/>
      <c r="AM51" s="38"/>
      <c r="AN51" s="38"/>
      <c r="AO51" s="38"/>
      <c r="AP51" s="38"/>
      <c r="AQ51" s="79"/>
      <c r="AS51" s="38"/>
      <c r="AT51" s="38"/>
      <c r="AU51" s="38"/>
      <c r="AV51" s="38"/>
      <c r="AW51" s="79"/>
      <c r="BC51" s="123"/>
      <c r="BI51" s="123"/>
      <c r="BO51" s="123"/>
      <c r="BU51" s="123"/>
      <c r="CA51" s="123"/>
      <c r="CG51" s="123"/>
      <c r="CM51" s="123"/>
      <c r="CS51" s="123"/>
    </row>
    <row r="52" spans="1:246" s="6" customFormat="1" ht="18.75" hidden="1" customHeight="1">
      <c r="B52" s="1"/>
      <c r="C52" s="36">
        <f>SUM(C44:C51)</f>
        <v>-38</v>
      </c>
      <c r="D52" s="36">
        <f>SUM(D44:D51)</f>
        <v>93</v>
      </c>
      <c r="E52" s="36">
        <f>SUM(E44:E51)</f>
        <v>-31</v>
      </c>
      <c r="F52" s="36">
        <f>SUM(F44:F51)</f>
        <v>-34</v>
      </c>
      <c r="G52" s="135">
        <f>SUM(G44:G51)</f>
        <v>-10</v>
      </c>
      <c r="H52" s="8"/>
      <c r="I52" s="36">
        <f>SUM(I44:I51)</f>
        <v>-16</v>
      </c>
      <c r="J52" s="36">
        <f>SUM(J44:J51)</f>
        <v>3</v>
      </c>
      <c r="K52" s="36">
        <f>SUM(K44:K51)</f>
        <v>15</v>
      </c>
      <c r="L52" s="36">
        <f>SUM(L44:L51)</f>
        <v>-807</v>
      </c>
      <c r="M52" s="135">
        <f>SUM(M44:M51)</f>
        <v>-805</v>
      </c>
      <c r="O52" s="36">
        <f>SUM(O44:O51)</f>
        <v>14</v>
      </c>
      <c r="P52" s="36">
        <f>SUM(P44:P51)</f>
        <v>50</v>
      </c>
      <c r="Q52" s="36">
        <f>SUM(Q44:Q51)</f>
        <v>56</v>
      </c>
      <c r="R52" s="36">
        <f>SUM(R44:R51)</f>
        <v>29</v>
      </c>
      <c r="S52" s="135">
        <f>SUM(S44:S51)</f>
        <v>149</v>
      </c>
      <c r="U52" s="36">
        <f>SUM(U44:U51)</f>
        <v>19</v>
      </c>
      <c r="V52" s="36">
        <f>SUM(V44:V51)</f>
        <v>88</v>
      </c>
      <c r="W52" s="36">
        <f>SUM(W44:W51)</f>
        <v>147</v>
      </c>
      <c r="X52" s="36">
        <f>SUM(X44:X51)</f>
        <v>70</v>
      </c>
      <c r="Y52" s="135">
        <f>SUM(Y44:Y51)</f>
        <v>324</v>
      </c>
      <c r="AA52" s="8"/>
      <c r="AB52" s="8"/>
      <c r="AC52" s="8"/>
      <c r="AD52" s="8"/>
      <c r="AE52" s="79"/>
      <c r="AG52" s="8"/>
      <c r="AH52" s="8"/>
      <c r="AI52" s="8"/>
      <c r="AJ52" s="8"/>
      <c r="AK52" s="79"/>
      <c r="AM52" s="8"/>
      <c r="AN52" s="8"/>
      <c r="AO52" s="8"/>
      <c r="AP52" s="8"/>
      <c r="AQ52" s="79"/>
      <c r="AS52" s="8"/>
      <c r="AT52" s="8"/>
      <c r="AU52" s="8"/>
      <c r="AV52" s="8"/>
      <c r="AW52" s="79"/>
      <c r="BC52" s="69"/>
      <c r="BI52" s="69"/>
      <c r="BO52" s="69"/>
      <c r="BU52" s="69"/>
      <c r="CA52" s="69"/>
      <c r="CG52" s="69"/>
      <c r="CM52" s="69"/>
      <c r="CS52" s="69"/>
      <c r="IL52" s="42"/>
    </row>
    <row r="53" spans="1:246" s="6" customFormat="1" ht="18.75" hidden="1" customHeight="1">
      <c r="A53" s="6" t="s">
        <v>53</v>
      </c>
      <c r="B53" s="1"/>
      <c r="C53" s="47">
        <f>C52/C13</f>
        <v>-2.47074122236671E-2</v>
      </c>
      <c r="D53" s="47">
        <f>D52/D13</f>
        <v>5.5291319857312726E-2</v>
      </c>
      <c r="E53" s="47">
        <f>E52/E13</f>
        <v>-1.9123997532387416E-2</v>
      </c>
      <c r="F53" s="47">
        <f>F52/F13</f>
        <v>-2.1451104100946371E-2</v>
      </c>
      <c r="G53" s="171">
        <f>G52/G13</f>
        <v>-1.556178026766262E-3</v>
      </c>
      <c r="H53" s="8"/>
      <c r="I53" s="47">
        <f>I52/I13</f>
        <v>-1.1843079200592153E-2</v>
      </c>
      <c r="J53" s="47">
        <f>J52/J13</f>
        <v>1.9607843137254902E-3</v>
      </c>
      <c r="K53" s="47">
        <f>K52/K13</f>
        <v>9.8684210526315784E-3</v>
      </c>
      <c r="L53" s="47">
        <f>L52/L13</f>
        <v>-0.54233870967741937</v>
      </c>
      <c r="M53" s="171">
        <f>M52/M13</f>
        <v>-0.13669553404652743</v>
      </c>
      <c r="O53" s="47">
        <f>O52/O13</f>
        <v>1.0494752623688156E-2</v>
      </c>
      <c r="P53" s="47">
        <f>P52/P13</f>
        <v>3.4059945504087197E-2</v>
      </c>
      <c r="Q53" s="47">
        <f>Q52/Q13</f>
        <v>3.6553524804177548E-2</v>
      </c>
      <c r="R53" s="47">
        <f>R52/R13</f>
        <v>1.9463087248322148E-2</v>
      </c>
      <c r="S53" s="171">
        <f>S52/S13</f>
        <v>2.5583791208791208E-2</v>
      </c>
      <c r="U53" s="47">
        <f>U52/U13</f>
        <v>1.3286713286713287E-2</v>
      </c>
      <c r="V53" s="47">
        <f>V52/V13</f>
        <v>4.3999999999999997E-2</v>
      </c>
      <c r="W53" s="47">
        <f>W52/W13</f>
        <v>6.8820224719101125E-2</v>
      </c>
      <c r="X53" s="47">
        <f>X52/X13</f>
        <v>3.2422417786012042E-2</v>
      </c>
      <c r="Y53" s="171">
        <f>Y52/Y13</f>
        <v>4.1941747572815533E-2</v>
      </c>
      <c r="AA53" s="49"/>
      <c r="AB53" s="49"/>
      <c r="AC53" s="49"/>
      <c r="AD53" s="49"/>
      <c r="AE53" s="171"/>
      <c r="AG53" s="49"/>
      <c r="AH53" s="49"/>
      <c r="AI53" s="49"/>
      <c r="AJ53" s="49"/>
      <c r="AK53" s="171"/>
      <c r="AM53" s="49"/>
      <c r="AN53" s="49"/>
      <c r="AO53" s="49"/>
      <c r="AP53" s="49"/>
      <c r="AQ53" s="171"/>
      <c r="AS53" s="49"/>
      <c r="AT53" s="49"/>
      <c r="AU53" s="49"/>
      <c r="AV53" s="49"/>
      <c r="AW53" s="171"/>
      <c r="BC53" s="69"/>
      <c r="BI53" s="69"/>
      <c r="BO53" s="69"/>
      <c r="BU53" s="69"/>
      <c r="CA53" s="69"/>
      <c r="CG53" s="69"/>
      <c r="CM53" s="69"/>
      <c r="CS53" s="69"/>
      <c r="IL53" s="44"/>
    </row>
    <row r="54" spans="1:246" s="6" customFormat="1" ht="18.75" hidden="1" customHeight="1">
      <c r="A54" s="6" t="s">
        <v>100</v>
      </c>
      <c r="B54" s="1"/>
      <c r="C54" s="47">
        <f>C45/C6</f>
        <v>-4.1786743515850142E-2</v>
      </c>
      <c r="D54" s="47">
        <f>D45/D6</f>
        <v>0.13214739517153748</v>
      </c>
      <c r="E54" s="47">
        <f>E45/E6</f>
        <v>0</v>
      </c>
      <c r="F54" s="47">
        <f>F45/F6</f>
        <v>9.3708165997322627E-3</v>
      </c>
      <c r="G54" s="171">
        <f>G45/G6</f>
        <v>2.6982560052648898E-2</v>
      </c>
      <c r="H54" s="8"/>
      <c r="I54" s="47">
        <f>I45/I6</f>
        <v>-7.5885328836424959E-2</v>
      </c>
      <c r="J54" s="47">
        <f>J45/J6</f>
        <v>1.2311901504787962E-2</v>
      </c>
      <c r="K54" s="47">
        <f>K45/K6</f>
        <v>-6.4850843060959796E-3</v>
      </c>
      <c r="L54" s="47">
        <f>L45/L6</f>
        <v>-0.90758620689655167</v>
      </c>
      <c r="M54" s="171">
        <f>M45/M6</f>
        <v>-0.24787234042553191</v>
      </c>
      <c r="O54" s="47">
        <f>O45/O6</f>
        <v>3.5778175313059034E-3</v>
      </c>
      <c r="P54" s="47">
        <f>P45/P6</f>
        <v>4.7965116279069769E-2</v>
      </c>
      <c r="Q54" s="47">
        <f>Q45/Q6</f>
        <v>6.6492829204693613E-2</v>
      </c>
      <c r="R54" s="47">
        <f>R45/R6</f>
        <v>2.556818181818182E-2</v>
      </c>
      <c r="S54" s="171">
        <f>S45/S6</f>
        <v>3.8263428991905817E-2</v>
      </c>
      <c r="U54" s="47">
        <f>U45/U6</f>
        <v>1.0416666666666666E-2</v>
      </c>
      <c r="V54" s="47">
        <f>V45/V6</f>
        <v>5.946601941747573E-2</v>
      </c>
      <c r="W54" s="47">
        <f>W45/W6</f>
        <v>6.3596491228070179E-2</v>
      </c>
      <c r="X54" s="47">
        <f>X45/X6</f>
        <v>3.2751091703056767E-3</v>
      </c>
      <c r="Y54" s="171">
        <f>Y45/Y6</f>
        <v>3.5198555956678701E-2</v>
      </c>
      <c r="AA54" s="49"/>
      <c r="AB54" s="49"/>
      <c r="AC54" s="49"/>
      <c r="AD54" s="49"/>
      <c r="AE54" s="171"/>
      <c r="AG54" s="49"/>
      <c r="AH54" s="49"/>
      <c r="AI54" s="49"/>
      <c r="AJ54" s="49"/>
      <c r="AK54" s="171"/>
      <c r="AM54" s="49"/>
      <c r="AN54" s="49"/>
      <c r="AO54" s="49"/>
      <c r="AP54" s="49"/>
      <c r="AQ54" s="171"/>
      <c r="AS54" s="49"/>
      <c r="AT54" s="49"/>
      <c r="AU54" s="49"/>
      <c r="AV54" s="49"/>
      <c r="AW54" s="171"/>
      <c r="BC54" s="69"/>
      <c r="BI54" s="69"/>
      <c r="BO54" s="69"/>
      <c r="BU54" s="69"/>
      <c r="CA54" s="69"/>
      <c r="CG54" s="69"/>
      <c r="CM54" s="69"/>
      <c r="CS54" s="69"/>
      <c r="IL54" s="44"/>
    </row>
    <row r="55" spans="1:246" s="6" customFormat="1" ht="18.75" hidden="1" customHeight="1">
      <c r="A55" s="6" t="s">
        <v>101</v>
      </c>
      <c r="B55" s="1"/>
      <c r="C55" s="47"/>
      <c r="D55" s="47"/>
      <c r="E55" s="47"/>
      <c r="F55" s="47"/>
      <c r="G55" s="171"/>
      <c r="H55" s="8"/>
      <c r="I55" s="47"/>
      <c r="J55" s="47"/>
      <c r="K55" s="47"/>
      <c r="L55" s="47"/>
      <c r="M55" s="171"/>
      <c r="O55" s="47">
        <f>+O45/O15</f>
        <v>3.5460992907801418E-3</v>
      </c>
      <c r="P55" s="47">
        <f>+P45/P15</f>
        <v>4.7413793103448273E-2</v>
      </c>
      <c r="Q55" s="47">
        <f>+Q45/Q15</f>
        <v>6.6233766233766228E-2</v>
      </c>
      <c r="R55" s="47">
        <f>+R45/R15</f>
        <v>2.556818181818182E-2</v>
      </c>
      <c r="S55" s="171">
        <f>+S45/S15</f>
        <v>3.8039502560351136E-2</v>
      </c>
      <c r="U55" s="47"/>
      <c r="V55" s="47"/>
      <c r="W55" s="47"/>
      <c r="X55" s="47"/>
      <c r="Y55" s="171"/>
      <c r="AA55" s="49"/>
      <c r="AB55" s="49"/>
      <c r="AC55" s="49"/>
      <c r="AD55" s="49"/>
      <c r="AE55" s="171"/>
      <c r="AG55" s="49"/>
      <c r="AH55" s="49"/>
      <c r="AI55" s="49"/>
      <c r="AJ55" s="49"/>
      <c r="AK55" s="171"/>
      <c r="AM55" s="49"/>
      <c r="AN55" s="49"/>
      <c r="AO55" s="49"/>
      <c r="AP55" s="49"/>
      <c r="AQ55" s="171"/>
      <c r="AS55" s="49"/>
      <c r="AT55" s="49"/>
      <c r="AU55" s="49"/>
      <c r="AV55" s="49"/>
      <c r="AW55" s="171"/>
      <c r="BC55" s="69"/>
      <c r="BI55" s="69"/>
      <c r="BO55" s="69"/>
      <c r="BU55" s="69"/>
      <c r="CA55" s="69"/>
      <c r="CG55" s="69"/>
      <c r="CM55" s="69"/>
      <c r="CS55" s="69"/>
      <c r="IL55" s="44"/>
    </row>
    <row r="56" spans="1:246" s="6" customFormat="1" ht="18.75" hidden="1" customHeight="1">
      <c r="A56" s="6" t="s">
        <v>43</v>
      </c>
      <c r="B56" s="1"/>
      <c r="C56" s="47">
        <f>C46/C7</f>
        <v>3.9030955585464336E-2</v>
      </c>
      <c r="D56" s="47">
        <f>D46/D7</f>
        <v>1.7735334242837655E-2</v>
      </c>
      <c r="E56" s="47">
        <f>E46/E7</f>
        <v>1.0279001468428781E-2</v>
      </c>
      <c r="F56" s="47">
        <f>F46/F7</f>
        <v>2.4793388429752067E-2</v>
      </c>
      <c r="G56" s="171">
        <f>G46/G7</f>
        <v>2.3239680887963927E-2</v>
      </c>
      <c r="H56" s="8"/>
      <c r="I56" s="47">
        <f>I46/I7</f>
        <v>3.2305433186490456E-2</v>
      </c>
      <c r="J56" s="47">
        <f>J46/J7</f>
        <v>6.2674094707520889E-2</v>
      </c>
      <c r="K56" s="47">
        <f>K46/K7</f>
        <v>6.2121212121212119E-2</v>
      </c>
      <c r="L56" s="47">
        <f>L46/L7</f>
        <v>6.6765578635014838E-2</v>
      </c>
      <c r="M56" s="171">
        <f>M46/M7</f>
        <v>5.598243688254665E-2</v>
      </c>
      <c r="O56" s="47">
        <f>O46/O7</f>
        <v>8.3209509658246653E-2</v>
      </c>
      <c r="P56" s="47">
        <f>P46/P7</f>
        <v>8.442503639010189E-2</v>
      </c>
      <c r="Q56" s="47">
        <f>Q46/Q7</f>
        <v>7.0015220700152203E-2</v>
      </c>
      <c r="R56" s="47">
        <f>R46/R7</f>
        <v>8.4795321637426896E-2</v>
      </c>
      <c r="S56" s="171">
        <f>S46/S7</f>
        <v>8.0710847834135499E-2</v>
      </c>
      <c r="U56" s="47">
        <f>U46/U7</f>
        <v>8.8193456614509252E-2</v>
      </c>
      <c r="V56" s="47">
        <f>V46/V7</f>
        <v>6.708975521305531E-2</v>
      </c>
      <c r="W56" s="47">
        <f>W46/W7</f>
        <v>5.6669572798605058E-2</v>
      </c>
      <c r="X56" s="47">
        <f>X46/X7</f>
        <v>5.7858376511226252E-2</v>
      </c>
      <c r="Y56" s="171">
        <f>Y46/Y7</f>
        <v>6.5190951106786674E-2</v>
      </c>
      <c r="AA56" s="49"/>
      <c r="AB56" s="49"/>
      <c r="AC56" s="49"/>
      <c r="AD56" s="49"/>
      <c r="AE56" s="171"/>
      <c r="AG56" s="49"/>
      <c r="AH56" s="49"/>
      <c r="AI56" s="49"/>
      <c r="AJ56" s="49"/>
      <c r="AK56" s="171"/>
      <c r="AM56" s="49"/>
      <c r="AN56" s="49"/>
      <c r="AO56" s="49"/>
      <c r="AP56" s="49"/>
      <c r="AQ56" s="171"/>
      <c r="AS56" s="49"/>
      <c r="AT56" s="49"/>
      <c r="AU56" s="49"/>
      <c r="AV56" s="49"/>
      <c r="AW56" s="171"/>
      <c r="BC56" s="69"/>
      <c r="BI56" s="69"/>
      <c r="BO56" s="69"/>
      <c r="BU56" s="69"/>
      <c r="CA56" s="69"/>
      <c r="CG56" s="69"/>
      <c r="CM56" s="69"/>
      <c r="CS56" s="69"/>
      <c r="IL56" s="44"/>
    </row>
    <row r="57" spans="1:246" s="1" customFormat="1" ht="18.75" hidden="1" customHeight="1">
      <c r="C57" s="8"/>
      <c r="D57" s="8"/>
      <c r="E57" s="8"/>
      <c r="F57" s="8"/>
      <c r="G57" s="79"/>
      <c r="H57" s="8"/>
      <c r="I57" s="8"/>
      <c r="J57" s="8"/>
      <c r="K57" s="8"/>
      <c r="L57" s="8"/>
      <c r="M57" s="79"/>
      <c r="O57" s="8"/>
      <c r="P57" s="8"/>
      <c r="Q57" s="8"/>
      <c r="R57" s="8"/>
      <c r="S57" s="79"/>
      <c r="U57" s="8"/>
      <c r="V57" s="8"/>
      <c r="W57" s="8"/>
      <c r="X57" s="8"/>
      <c r="Y57" s="79"/>
      <c r="AA57" s="8"/>
      <c r="AB57" s="8"/>
      <c r="AC57" s="8"/>
      <c r="AD57" s="8"/>
      <c r="AE57" s="79"/>
      <c r="AG57" s="8"/>
      <c r="AH57" s="8"/>
      <c r="AI57" s="8"/>
      <c r="AJ57" s="8"/>
      <c r="AK57" s="79"/>
      <c r="AM57" s="8"/>
      <c r="AN57" s="8"/>
      <c r="AO57" s="8"/>
      <c r="AP57" s="8"/>
      <c r="AQ57" s="79"/>
      <c r="AS57" s="8"/>
      <c r="AT57" s="8"/>
      <c r="AU57" s="8"/>
      <c r="AV57" s="8"/>
      <c r="AW57" s="79"/>
      <c r="BC57" s="69"/>
      <c r="BI57" s="69"/>
      <c r="BO57" s="69"/>
      <c r="BU57" s="69"/>
      <c r="CA57" s="69"/>
      <c r="CG57" s="69"/>
      <c r="CM57" s="69"/>
      <c r="CS57" s="69"/>
      <c r="IL57" s="4"/>
    </row>
    <row r="58" spans="1:246" s="1" customFormat="1" ht="18.75" hidden="1" customHeight="1">
      <c r="C58" s="8"/>
      <c r="D58" s="8"/>
      <c r="E58" s="8"/>
      <c r="F58" s="8"/>
      <c r="G58" s="79"/>
      <c r="H58" s="8"/>
      <c r="I58" s="8"/>
      <c r="J58" s="8"/>
      <c r="K58" s="8"/>
      <c r="L58" s="8"/>
      <c r="M58" s="79"/>
      <c r="O58" s="8"/>
      <c r="P58" s="8"/>
      <c r="Q58" s="8"/>
      <c r="R58" s="8"/>
      <c r="S58" s="79"/>
      <c r="U58" s="8"/>
      <c r="V58" s="8"/>
      <c r="W58" s="8"/>
      <c r="X58" s="8"/>
      <c r="Y58" s="79"/>
      <c r="AA58" s="8"/>
      <c r="AB58" s="8"/>
      <c r="AC58" s="8"/>
      <c r="AD58" s="8"/>
      <c r="AE58" s="79"/>
      <c r="AG58" s="8"/>
      <c r="AH58" s="8"/>
      <c r="AI58" s="8"/>
      <c r="AJ58" s="8"/>
      <c r="AK58" s="79"/>
      <c r="AM58" s="8"/>
      <c r="AN58" s="8"/>
      <c r="AO58" s="8"/>
      <c r="AP58" s="8"/>
      <c r="AQ58" s="79"/>
      <c r="AS58" s="8"/>
      <c r="AT58" s="8"/>
      <c r="AU58" s="8"/>
      <c r="AV58" s="8"/>
      <c r="AW58" s="79"/>
      <c r="BC58" s="69"/>
      <c r="BI58" s="69"/>
      <c r="BO58" s="69"/>
      <c r="BU58" s="69"/>
      <c r="CA58" s="69"/>
      <c r="CG58" s="69"/>
      <c r="CM58" s="69"/>
      <c r="CS58" s="69"/>
      <c r="IL58" s="4"/>
    </row>
    <row r="59" spans="1:246">
      <c r="C59" s="9"/>
      <c r="D59" s="9"/>
      <c r="E59" s="9"/>
      <c r="F59" s="9"/>
      <c r="G59" s="71"/>
      <c r="H59" s="8"/>
      <c r="I59" s="9"/>
      <c r="J59" s="9"/>
      <c r="K59" s="9"/>
      <c r="L59" s="9"/>
      <c r="M59" s="71"/>
      <c r="O59" s="9"/>
      <c r="P59" s="9"/>
      <c r="Q59" s="9"/>
      <c r="R59" s="9"/>
      <c r="S59" s="71"/>
      <c r="U59" s="9"/>
      <c r="V59" s="9"/>
      <c r="W59" s="9"/>
      <c r="X59" s="9"/>
      <c r="Y59" s="71"/>
      <c r="AA59" s="9"/>
      <c r="AB59" s="9"/>
      <c r="AC59" s="9"/>
      <c r="AD59" s="9"/>
      <c r="AE59" s="71"/>
      <c r="AG59" s="9"/>
      <c r="AH59" s="9"/>
      <c r="AI59" s="9"/>
      <c r="AJ59" s="9"/>
      <c r="AK59" s="71"/>
      <c r="AM59" s="9"/>
      <c r="AN59" s="9"/>
      <c r="AO59" s="9"/>
      <c r="AP59" s="9"/>
      <c r="AQ59" s="71"/>
      <c r="AS59" s="9"/>
      <c r="AT59" s="9"/>
      <c r="AU59" s="9"/>
      <c r="AV59" s="9"/>
      <c r="AW59" s="71"/>
      <c r="BC59" s="123"/>
      <c r="BI59" s="123"/>
      <c r="BO59" s="123"/>
      <c r="BU59" s="123"/>
      <c r="CA59" s="123"/>
      <c r="CG59" s="123"/>
      <c r="CM59" s="123"/>
      <c r="CS59" s="123"/>
    </row>
    <row r="60" spans="1:246">
      <c r="A60" s="6" t="s">
        <v>2</v>
      </c>
      <c r="C60" s="9"/>
      <c r="D60" s="9"/>
      <c r="E60" s="9"/>
      <c r="F60" s="9"/>
      <c r="G60" s="71"/>
      <c r="H60" s="8"/>
      <c r="I60" s="9"/>
      <c r="J60" s="9"/>
      <c r="K60" s="9"/>
      <c r="L60" s="9"/>
      <c r="M60" s="71"/>
      <c r="O60" s="9"/>
      <c r="P60" s="9"/>
      <c r="Q60" s="9"/>
      <c r="R60" s="9"/>
      <c r="S60" s="71"/>
      <c r="U60" s="9"/>
      <c r="V60" s="9"/>
      <c r="W60" s="9"/>
      <c r="X60" s="9"/>
      <c r="Y60" s="71"/>
      <c r="AA60" s="9"/>
      <c r="AB60" s="9"/>
      <c r="AC60" s="9"/>
      <c r="AD60" s="9"/>
      <c r="AE60" s="71"/>
      <c r="AG60" s="9"/>
      <c r="AH60" s="9"/>
      <c r="AI60" s="9"/>
      <c r="AJ60" s="9"/>
      <c r="AK60" s="71"/>
      <c r="AM60" s="9"/>
      <c r="AN60" s="9"/>
      <c r="AO60" s="9"/>
      <c r="AP60" s="9"/>
      <c r="AQ60" s="71"/>
      <c r="AS60" s="9"/>
      <c r="AT60" s="9"/>
      <c r="AU60" s="9"/>
      <c r="AV60" s="9"/>
      <c r="AW60" s="71"/>
      <c r="AY60" s="9"/>
      <c r="AZ60" s="9"/>
      <c r="BA60" s="9"/>
      <c r="BB60" s="9"/>
      <c r="BC60" s="71"/>
      <c r="BE60" s="9"/>
      <c r="BF60" s="9"/>
      <c r="BG60" s="9"/>
      <c r="BH60" s="9"/>
      <c r="BI60" s="71"/>
      <c r="BK60" s="9"/>
      <c r="BL60" s="9"/>
      <c r="BM60" s="9"/>
      <c r="BN60" s="9"/>
      <c r="BO60" s="71"/>
      <c r="BQ60" s="9"/>
      <c r="BR60" s="9"/>
      <c r="BS60" s="9"/>
      <c r="BT60" s="9"/>
      <c r="BU60" s="71"/>
      <c r="BW60" s="9"/>
      <c r="BX60" s="9"/>
      <c r="BY60" s="9"/>
      <c r="BZ60" s="9"/>
      <c r="CA60" s="71"/>
      <c r="CC60" s="9"/>
      <c r="CD60" s="9"/>
      <c r="CE60" s="9"/>
      <c r="CF60" s="9"/>
      <c r="CG60" s="71"/>
      <c r="CI60" s="9"/>
      <c r="CJ60" s="9"/>
      <c r="CK60" s="9"/>
      <c r="CL60" s="9"/>
      <c r="CM60" s="71"/>
      <c r="CO60" s="9"/>
      <c r="CP60" s="9"/>
      <c r="CQ60" s="9"/>
      <c r="CR60" s="9"/>
      <c r="CS60" s="71"/>
    </row>
    <row r="61" spans="1:246">
      <c r="A61" s="2" t="s">
        <v>130</v>
      </c>
      <c r="C61" s="9">
        <v>-31</v>
      </c>
      <c r="D61" s="9">
        <v>102</v>
      </c>
      <c r="E61" s="9">
        <v>-1</v>
      </c>
      <c r="F61" s="9">
        <v>5</v>
      </c>
      <c r="G61" s="71">
        <f>SUM(C61:F61)</f>
        <v>75</v>
      </c>
      <c r="H61" s="8"/>
      <c r="I61" s="9">
        <v>-47</v>
      </c>
      <c r="J61" s="9">
        <v>7</v>
      </c>
      <c r="K61" s="9">
        <v>-7</v>
      </c>
      <c r="L61" s="9">
        <v>-685</v>
      </c>
      <c r="M61" s="71">
        <f>SUM(I61:L61)</f>
        <v>-732</v>
      </c>
      <c r="O61" s="9">
        <v>2</v>
      </c>
      <c r="P61" s="9">
        <v>33</v>
      </c>
      <c r="Q61" s="9">
        <v>51</v>
      </c>
      <c r="R61" s="9">
        <v>18</v>
      </c>
      <c r="S61" s="71">
        <f>SUM(O61:R61)</f>
        <v>104</v>
      </c>
      <c r="U61" s="9">
        <v>6</v>
      </c>
      <c r="V61" s="9">
        <v>48</v>
      </c>
      <c r="W61" s="9">
        <v>57</v>
      </c>
      <c r="X61" s="9">
        <v>4</v>
      </c>
      <c r="Y61" s="71">
        <f>SUM(U61:X61)</f>
        <v>115</v>
      </c>
      <c r="AA61" s="9">
        <v>6</v>
      </c>
      <c r="AB61" s="9">
        <v>49</v>
      </c>
      <c r="AC61" s="9">
        <v>51</v>
      </c>
      <c r="AD61" s="9">
        <v>30</v>
      </c>
      <c r="AE61" s="71">
        <f>SUM(AA61:AD61)</f>
        <v>136</v>
      </c>
      <c r="AG61" s="9">
        <v>6</v>
      </c>
      <c r="AH61" s="9">
        <v>47</v>
      </c>
      <c r="AI61" s="9">
        <v>65</v>
      </c>
      <c r="AJ61" s="9">
        <v>57</v>
      </c>
      <c r="AK61" s="71">
        <f>SUM(AG61:AJ61)</f>
        <v>175</v>
      </c>
      <c r="AM61" s="9">
        <v>51</v>
      </c>
      <c r="AN61" s="9">
        <v>87</v>
      </c>
      <c r="AO61" s="9">
        <v>104</v>
      </c>
      <c r="AP61" s="9">
        <v>59</v>
      </c>
      <c r="AQ61" s="71">
        <f>SUM(AM61:AP61)</f>
        <v>301</v>
      </c>
      <c r="AS61" s="9">
        <v>77</v>
      </c>
      <c r="AT61" s="9">
        <v>163</v>
      </c>
      <c r="AU61" s="9">
        <v>145</v>
      </c>
      <c r="AV61" s="9">
        <v>189</v>
      </c>
      <c r="AW61" s="71">
        <f>SUM(AS61:AV61)</f>
        <v>574</v>
      </c>
      <c r="AY61" s="9">
        <v>86</v>
      </c>
      <c r="AZ61" s="9">
        <v>153</v>
      </c>
      <c r="BA61" s="9">
        <v>120</v>
      </c>
      <c r="BB61" s="9">
        <v>-61</v>
      </c>
      <c r="BC61" s="71">
        <f>SUM(AY61:BB61)</f>
        <v>298</v>
      </c>
      <c r="BE61" s="9">
        <v>-26</v>
      </c>
      <c r="BF61" s="9">
        <v>104</v>
      </c>
      <c r="BG61" s="9">
        <v>71</v>
      </c>
      <c r="BH61" s="27">
        <v>48</v>
      </c>
      <c r="BI61" s="71">
        <f>SUM(BE61:BH61)</f>
        <v>197</v>
      </c>
      <c r="BK61" s="9">
        <v>13</v>
      </c>
      <c r="BL61" s="9">
        <v>30</v>
      </c>
      <c r="BM61" s="9">
        <v>87</v>
      </c>
      <c r="BN61" s="27">
        <v>-21</v>
      </c>
      <c r="BO61" s="71">
        <f>SUM(BK61:BN61)</f>
        <v>109</v>
      </c>
      <c r="BQ61" s="9">
        <v>-36</v>
      </c>
      <c r="BR61" s="9">
        <v>-56</v>
      </c>
      <c r="BS61" s="9">
        <v>2</v>
      </c>
      <c r="BT61" s="27">
        <v>-64</v>
      </c>
      <c r="BU61" s="71">
        <f>SUM(BQ61:BT61)</f>
        <v>-154</v>
      </c>
      <c r="BW61" s="9">
        <v>-29</v>
      </c>
      <c r="BX61" s="9">
        <v>-25</v>
      </c>
      <c r="BY61" s="9">
        <v>29</v>
      </c>
      <c r="BZ61" s="27">
        <v>23</v>
      </c>
      <c r="CA61" s="71">
        <f>SUM(BW61:BZ61)</f>
        <v>-2</v>
      </c>
      <c r="CC61" s="9">
        <v>-29</v>
      </c>
      <c r="CD61" s="9">
        <v>-3</v>
      </c>
      <c r="CE61" s="9">
        <v>25</v>
      </c>
      <c r="CF61" s="27">
        <v>22</v>
      </c>
      <c r="CG61" s="71">
        <f>SUM(CC61:CF61)</f>
        <v>15</v>
      </c>
      <c r="CI61" s="9">
        <v>-80</v>
      </c>
      <c r="CJ61" s="9">
        <v>-61</v>
      </c>
      <c r="CK61" s="9">
        <v>20</v>
      </c>
      <c r="CL61" s="27">
        <v>-8</v>
      </c>
      <c r="CM61" s="71">
        <f>SUM(CI61:CL61)</f>
        <v>-129</v>
      </c>
      <c r="CO61" s="9">
        <v>-5</v>
      </c>
      <c r="CP61" s="9">
        <v>-152</v>
      </c>
      <c r="CQ61" s="9"/>
      <c r="CR61" s="27"/>
      <c r="CS61" s="71">
        <f>SUM(CO61:CR61)</f>
        <v>-157</v>
      </c>
    </row>
    <row r="62" spans="1:246">
      <c r="A62" s="2" t="s">
        <v>187</v>
      </c>
      <c r="C62" s="9">
        <v>15</v>
      </c>
      <c r="D62" s="9">
        <v>-1</v>
      </c>
      <c r="E62" s="9">
        <v>-7</v>
      </c>
      <c r="F62" s="9">
        <v>4</v>
      </c>
      <c r="G62" s="71">
        <f t="shared" ref="G62:G67" si="79">SUM(C62:F62)</f>
        <v>11</v>
      </c>
      <c r="H62" s="8"/>
      <c r="I62" s="9">
        <v>8</v>
      </c>
      <c r="J62" s="9">
        <v>31</v>
      </c>
      <c r="K62" s="9">
        <v>26</v>
      </c>
      <c r="L62" s="9">
        <v>30</v>
      </c>
      <c r="M62" s="71">
        <f t="shared" ref="M62:M67" si="80">SUM(I62:L62)</f>
        <v>95</v>
      </c>
      <c r="O62" s="9">
        <v>41</v>
      </c>
      <c r="P62" s="9">
        <v>45</v>
      </c>
      <c r="Q62" s="9">
        <v>33</v>
      </c>
      <c r="R62" s="9">
        <v>44</v>
      </c>
      <c r="S62" s="71">
        <f t="shared" ref="S62:S67" si="81">SUM(O62:R62)</f>
        <v>163</v>
      </c>
      <c r="U62" s="9">
        <v>48</v>
      </c>
      <c r="V62" s="9">
        <v>55</v>
      </c>
      <c r="W62" s="9">
        <v>45</v>
      </c>
      <c r="X62" s="9">
        <v>47</v>
      </c>
      <c r="Y62" s="71">
        <f t="shared" ref="Y62:Y67" si="82">SUM(U62:X62)</f>
        <v>195</v>
      </c>
      <c r="AA62" s="9">
        <v>59</v>
      </c>
      <c r="AB62" s="9">
        <v>-106</v>
      </c>
      <c r="AC62" s="9">
        <v>65</v>
      </c>
      <c r="AD62" s="9">
        <v>61</v>
      </c>
      <c r="AE62" s="71">
        <f t="shared" ref="AE62:AE67" si="83">SUM(AA62:AD62)</f>
        <v>79</v>
      </c>
      <c r="AG62" s="9">
        <v>71</v>
      </c>
      <c r="AH62" s="9">
        <v>88</v>
      </c>
      <c r="AI62" s="9">
        <v>82</v>
      </c>
      <c r="AJ62" s="9">
        <v>93</v>
      </c>
      <c r="AK62" s="71">
        <f t="shared" ref="AK62:AK67" si="84">SUM(AG62:AJ62)</f>
        <v>334</v>
      </c>
      <c r="AM62" s="9">
        <v>79</v>
      </c>
      <c r="AN62" s="9">
        <v>236</v>
      </c>
      <c r="AO62" s="9">
        <v>93</v>
      </c>
      <c r="AP62" s="9">
        <v>100</v>
      </c>
      <c r="AQ62" s="71">
        <f t="shared" ref="AQ62:AQ67" si="85">SUM(AM62:AP62)</f>
        <v>508</v>
      </c>
      <c r="AS62" s="9">
        <v>114</v>
      </c>
      <c r="AT62" s="9">
        <v>143</v>
      </c>
      <c r="AU62" s="9">
        <v>93</v>
      </c>
      <c r="AV62" s="9">
        <v>144</v>
      </c>
      <c r="AW62" s="71">
        <f t="shared" ref="AW62:AW67" si="86">SUM(AS62:AV62)</f>
        <v>494</v>
      </c>
      <c r="AY62" s="9">
        <v>117</v>
      </c>
      <c r="AZ62" s="9">
        <v>151</v>
      </c>
      <c r="BA62" s="9">
        <v>62</v>
      </c>
      <c r="BB62" s="9">
        <v>61</v>
      </c>
      <c r="BC62" s="71">
        <f t="shared" ref="BC62:BC67" si="87">SUM(AY62:BB62)</f>
        <v>391</v>
      </c>
      <c r="BE62" s="9">
        <v>38</v>
      </c>
      <c r="BF62" s="9">
        <v>24</v>
      </c>
      <c r="BG62" s="9">
        <v>40</v>
      </c>
      <c r="BH62" s="27">
        <v>39</v>
      </c>
      <c r="BI62" s="71">
        <f t="shared" ref="BI62:BI67" si="88">SUM(BE62:BH62)</f>
        <v>141</v>
      </c>
      <c r="BK62" s="9">
        <v>107</v>
      </c>
      <c r="BL62" s="9">
        <v>123</v>
      </c>
      <c r="BM62" s="9">
        <v>59</v>
      </c>
      <c r="BN62" s="27">
        <v>51</v>
      </c>
      <c r="BO62" s="71">
        <f t="shared" ref="BO62:BO67" si="89">SUM(BK62:BN62)</f>
        <v>340</v>
      </c>
      <c r="BQ62" s="9">
        <v>125</v>
      </c>
      <c r="BR62" s="9">
        <v>145</v>
      </c>
      <c r="BS62" s="9">
        <v>104</v>
      </c>
      <c r="BT62" s="27">
        <v>116</v>
      </c>
      <c r="BU62" s="71">
        <f t="shared" ref="BU62:BU67" si="90">SUM(BQ62:BT62)</f>
        <v>490</v>
      </c>
      <c r="BW62" s="9">
        <v>142</v>
      </c>
      <c r="BX62" s="9">
        <v>143</v>
      </c>
      <c r="BY62" s="9">
        <v>87</v>
      </c>
      <c r="BZ62" s="27">
        <v>146</v>
      </c>
      <c r="CA62" s="71">
        <f t="shared" ref="CA62:CA67" si="91">SUM(BW62:BZ62)</f>
        <v>518</v>
      </c>
      <c r="CC62" s="9">
        <v>136</v>
      </c>
      <c r="CD62" s="9">
        <v>171</v>
      </c>
      <c r="CE62" s="9">
        <v>103</v>
      </c>
      <c r="CF62" s="27">
        <v>154</v>
      </c>
      <c r="CG62" s="71">
        <f t="shared" ref="CG62:CG67" si="92">SUM(CC62:CF62)</f>
        <v>564</v>
      </c>
      <c r="CI62" s="9">
        <v>255</v>
      </c>
      <c r="CJ62" s="9">
        <v>165</v>
      </c>
      <c r="CK62" s="9">
        <v>88</v>
      </c>
      <c r="CL62" s="27">
        <v>165</v>
      </c>
      <c r="CM62" s="71">
        <f t="shared" ref="CM62:CM67" si="93">SUM(CI62:CL62)</f>
        <v>673</v>
      </c>
      <c r="CO62" s="9">
        <v>125</v>
      </c>
      <c r="CP62" s="9">
        <v>153</v>
      </c>
      <c r="CQ62" s="9"/>
      <c r="CR62" s="27"/>
      <c r="CS62" s="71">
        <f t="shared" ref="CS62:CS67" si="94">SUM(CO62:CR62)</f>
        <v>278</v>
      </c>
    </row>
    <row r="63" spans="1:246" hidden="1">
      <c r="A63" s="2" t="s">
        <v>36</v>
      </c>
      <c r="C63" s="9">
        <v>6</v>
      </c>
      <c r="D63" s="9">
        <v>6</v>
      </c>
      <c r="E63" s="9">
        <v>5</v>
      </c>
      <c r="F63" s="9">
        <v>5</v>
      </c>
      <c r="G63" s="71">
        <f t="shared" si="79"/>
        <v>22</v>
      </c>
      <c r="H63" s="8"/>
      <c r="I63" s="9">
        <f>61</f>
        <v>61</v>
      </c>
      <c r="J63" s="9">
        <v>13</v>
      </c>
      <c r="K63" s="9">
        <v>41</v>
      </c>
      <c r="L63" s="9">
        <f>26-10</f>
        <v>16</v>
      </c>
      <c r="M63" s="71">
        <f t="shared" si="80"/>
        <v>131</v>
      </c>
      <c r="O63" s="9">
        <v>0</v>
      </c>
      <c r="P63" s="9">
        <v>0</v>
      </c>
      <c r="Q63" s="9">
        <v>-2</v>
      </c>
      <c r="R63" s="9">
        <v>2</v>
      </c>
      <c r="S63" s="71">
        <f t="shared" si="81"/>
        <v>0</v>
      </c>
      <c r="U63" s="9">
        <v>-1</v>
      </c>
      <c r="V63" s="9">
        <v>0</v>
      </c>
      <c r="W63" s="9">
        <v>136</v>
      </c>
      <c r="X63" s="9">
        <v>43</v>
      </c>
      <c r="Y63" s="71">
        <f t="shared" si="82"/>
        <v>178</v>
      </c>
      <c r="AA63" s="9">
        <v>-1</v>
      </c>
      <c r="AB63" s="9">
        <v>0</v>
      </c>
      <c r="AC63" s="9">
        <v>136</v>
      </c>
      <c r="AD63" s="9">
        <v>43</v>
      </c>
      <c r="AE63" s="71">
        <f t="shared" si="83"/>
        <v>178</v>
      </c>
      <c r="AG63" s="9">
        <v>4</v>
      </c>
      <c r="AH63" s="9">
        <v>2</v>
      </c>
      <c r="AI63" s="9">
        <v>0</v>
      </c>
      <c r="AJ63" s="9">
        <v>1</v>
      </c>
      <c r="AK63" s="71">
        <f t="shared" si="84"/>
        <v>7</v>
      </c>
      <c r="AM63" s="9"/>
      <c r="AN63" s="9"/>
      <c r="AO63" s="9"/>
      <c r="AP63" s="9"/>
      <c r="AQ63" s="71">
        <f t="shared" si="85"/>
        <v>0</v>
      </c>
      <c r="AS63" s="9"/>
      <c r="AT63" s="9"/>
      <c r="AU63" s="9"/>
      <c r="AV63" s="9"/>
      <c r="AW63" s="71">
        <f t="shared" si="86"/>
        <v>0</v>
      </c>
      <c r="AY63" s="9"/>
      <c r="AZ63" s="9"/>
      <c r="BA63" s="9"/>
      <c r="BB63" s="9"/>
      <c r="BC63" s="71">
        <f t="shared" si="87"/>
        <v>0</v>
      </c>
      <c r="BE63" s="9"/>
      <c r="BF63" s="9"/>
      <c r="BG63" s="9"/>
      <c r="BH63" s="27"/>
      <c r="BI63" s="71">
        <f t="shared" si="88"/>
        <v>0</v>
      </c>
      <c r="BK63" s="9"/>
      <c r="BL63" s="9"/>
      <c r="BM63" s="9"/>
      <c r="BN63" s="27"/>
      <c r="BO63" s="71">
        <f t="shared" si="89"/>
        <v>0</v>
      </c>
      <c r="BQ63" s="9"/>
      <c r="BR63" s="9"/>
      <c r="BS63" s="9"/>
      <c r="BT63" s="27"/>
      <c r="BU63" s="71">
        <f t="shared" si="90"/>
        <v>0</v>
      </c>
      <c r="BW63" s="9"/>
      <c r="BX63" s="9"/>
      <c r="BY63" s="9"/>
      <c r="BZ63" s="27"/>
      <c r="CA63" s="71">
        <f t="shared" si="91"/>
        <v>0</v>
      </c>
      <c r="CC63" s="9"/>
      <c r="CD63" s="9"/>
      <c r="CE63" s="9"/>
      <c r="CF63" s="27"/>
      <c r="CG63" s="71">
        <f t="shared" si="92"/>
        <v>0</v>
      </c>
      <c r="CI63" s="9"/>
      <c r="CJ63" s="9"/>
      <c r="CK63" s="9"/>
      <c r="CL63" s="27"/>
      <c r="CM63" s="71">
        <f t="shared" si="93"/>
        <v>0</v>
      </c>
      <c r="CO63" s="9"/>
      <c r="CP63" s="9"/>
      <c r="CQ63" s="9"/>
      <c r="CR63" s="27"/>
      <c r="CS63" s="71">
        <f t="shared" si="94"/>
        <v>0</v>
      </c>
    </row>
    <row r="64" spans="1:246">
      <c r="A64" s="2" t="s">
        <v>148</v>
      </c>
      <c r="C64" s="9">
        <v>-19</v>
      </c>
      <c r="D64" s="9">
        <v>-4</v>
      </c>
      <c r="E64" s="9">
        <v>-15</v>
      </c>
      <c r="F64" s="9">
        <v>-17</v>
      </c>
      <c r="G64" s="71">
        <f t="shared" si="79"/>
        <v>-55</v>
      </c>
      <c r="H64" s="8"/>
      <c r="I64" s="9">
        <v>-8</v>
      </c>
      <c r="J64" s="9">
        <v>-12</v>
      </c>
      <c r="K64" s="9">
        <v>-12</v>
      </c>
      <c r="L64" s="9">
        <v>-136</v>
      </c>
      <c r="M64" s="71">
        <f t="shared" si="80"/>
        <v>-168</v>
      </c>
      <c r="O64" s="9">
        <v>-13</v>
      </c>
      <c r="P64" s="9">
        <v>-6</v>
      </c>
      <c r="Q64" s="9">
        <v>1</v>
      </c>
      <c r="R64" s="9">
        <v>-14</v>
      </c>
      <c r="S64" s="71">
        <f t="shared" si="81"/>
        <v>-32</v>
      </c>
      <c r="U64" s="9">
        <v>-17</v>
      </c>
      <c r="V64" s="9">
        <v>-4</v>
      </c>
      <c r="W64" s="9">
        <v>-15</v>
      </c>
      <c r="X64" s="9">
        <v>-25</v>
      </c>
      <c r="Y64" s="71">
        <f t="shared" si="82"/>
        <v>-61</v>
      </c>
      <c r="AA64" s="9">
        <v>-9</v>
      </c>
      <c r="AB64" s="9">
        <v>-3</v>
      </c>
      <c r="AC64" s="9">
        <v>-8</v>
      </c>
      <c r="AD64" s="9">
        <v>-13</v>
      </c>
      <c r="AE64" s="71">
        <f t="shared" si="83"/>
        <v>-33</v>
      </c>
      <c r="AG64" s="9">
        <v>-4</v>
      </c>
      <c r="AH64" s="9">
        <v>-1</v>
      </c>
      <c r="AI64" s="9">
        <v>1</v>
      </c>
      <c r="AJ64" s="9">
        <v>14</v>
      </c>
      <c r="AK64" s="71">
        <f t="shared" si="84"/>
        <v>10</v>
      </c>
      <c r="AM64" s="9">
        <v>6</v>
      </c>
      <c r="AN64" s="9">
        <v>16</v>
      </c>
      <c r="AO64" s="9">
        <v>15</v>
      </c>
      <c r="AP64" s="9">
        <v>16</v>
      </c>
      <c r="AQ64" s="71">
        <f t="shared" si="85"/>
        <v>53</v>
      </c>
      <c r="AS64" s="9">
        <v>16</v>
      </c>
      <c r="AT64" s="9">
        <v>35</v>
      </c>
      <c r="AU64" s="9">
        <v>21</v>
      </c>
      <c r="AV64" s="9">
        <v>49</v>
      </c>
      <c r="AW64" s="71">
        <f t="shared" si="86"/>
        <v>121</v>
      </c>
      <c r="AY64" s="9">
        <v>47</v>
      </c>
      <c r="AZ64" s="9">
        <v>91</v>
      </c>
      <c r="BA64" s="9">
        <v>76</v>
      </c>
      <c r="BB64" s="9">
        <v>8</v>
      </c>
      <c r="BC64" s="71">
        <f t="shared" si="87"/>
        <v>222</v>
      </c>
      <c r="BE64" s="9">
        <v>37</v>
      </c>
      <c r="BF64" s="9">
        <v>43</v>
      </c>
      <c r="BG64" s="9">
        <v>39</v>
      </c>
      <c r="BH64" s="27">
        <v>17</v>
      </c>
      <c r="BI64" s="71">
        <f t="shared" si="88"/>
        <v>136</v>
      </c>
      <c r="BK64" s="9">
        <v>16</v>
      </c>
      <c r="BL64" s="9">
        <v>23</v>
      </c>
      <c r="BM64" s="9">
        <v>18</v>
      </c>
      <c r="BN64" s="27">
        <v>33</v>
      </c>
      <c r="BO64" s="71">
        <f t="shared" si="89"/>
        <v>90</v>
      </c>
      <c r="BQ64" s="9">
        <v>28</v>
      </c>
      <c r="BR64" s="9">
        <v>21</v>
      </c>
      <c r="BS64" s="9">
        <v>90</v>
      </c>
      <c r="BT64" s="27">
        <v>19</v>
      </c>
      <c r="BU64" s="71">
        <f t="shared" si="90"/>
        <v>158</v>
      </c>
      <c r="BW64" s="48">
        <v>0</v>
      </c>
      <c r="BX64" s="48">
        <v>0</v>
      </c>
      <c r="BY64" s="9">
        <v>0</v>
      </c>
      <c r="BZ64" s="27">
        <v>0</v>
      </c>
      <c r="CA64" s="71">
        <f t="shared" si="91"/>
        <v>0</v>
      </c>
      <c r="CC64" s="48"/>
      <c r="CD64" s="48"/>
      <c r="CE64" s="9"/>
      <c r="CF64" s="27"/>
      <c r="CG64" s="71">
        <f t="shared" si="92"/>
        <v>0</v>
      </c>
      <c r="CI64" s="48"/>
      <c r="CJ64" s="48"/>
      <c r="CK64" s="9"/>
      <c r="CL64" s="27"/>
      <c r="CM64" s="71">
        <f t="shared" si="93"/>
        <v>0</v>
      </c>
      <c r="CO64" s="48"/>
      <c r="CP64" s="48"/>
      <c r="CQ64" s="9"/>
      <c r="CR64" s="27"/>
      <c r="CS64" s="71">
        <f t="shared" si="94"/>
        <v>0</v>
      </c>
    </row>
    <row r="65" spans="1:246">
      <c r="A65" s="2" t="s">
        <v>128</v>
      </c>
      <c r="C65" s="9">
        <f>-1-10</f>
        <v>-11</v>
      </c>
      <c r="D65" s="9">
        <v>-11</v>
      </c>
      <c r="E65" s="9">
        <f>13-30</f>
        <v>-17</v>
      </c>
      <c r="F65" s="9">
        <v>-29</v>
      </c>
      <c r="G65" s="71">
        <f t="shared" si="79"/>
        <v>-68</v>
      </c>
      <c r="H65" s="8"/>
      <c r="I65" s="9">
        <v>-30</v>
      </c>
      <c r="J65" s="9">
        <v>-28</v>
      </c>
      <c r="K65" s="9">
        <v>-30</v>
      </c>
      <c r="L65" s="9">
        <f>-58</f>
        <v>-58</v>
      </c>
      <c r="M65" s="71">
        <f t="shared" si="80"/>
        <v>-146</v>
      </c>
      <c r="O65" s="9">
        <v>-29</v>
      </c>
      <c r="P65" s="9">
        <v>-27</v>
      </c>
      <c r="Q65" s="9">
        <v>-30</v>
      </c>
      <c r="R65" s="9">
        <v>-49</v>
      </c>
      <c r="S65" s="71">
        <f t="shared" si="81"/>
        <v>-135</v>
      </c>
      <c r="U65" s="9">
        <v>-28</v>
      </c>
      <c r="V65" s="9">
        <v>-26</v>
      </c>
      <c r="W65" s="9">
        <v>-94</v>
      </c>
      <c r="X65" s="9">
        <v>-12</v>
      </c>
      <c r="Y65" s="71">
        <f t="shared" si="82"/>
        <v>-160</v>
      </c>
      <c r="AA65" s="9">
        <v>-28</v>
      </c>
      <c r="AB65" s="9">
        <v>-26</v>
      </c>
      <c r="AC65" s="9">
        <v>-94</v>
      </c>
      <c r="AD65" s="9">
        <v>-11</v>
      </c>
      <c r="AE65" s="71">
        <f t="shared" si="83"/>
        <v>-159</v>
      </c>
      <c r="AG65" s="9">
        <v>-4</v>
      </c>
      <c r="AH65" s="9">
        <v>-8</v>
      </c>
      <c r="AI65" s="9">
        <v>-4</v>
      </c>
      <c r="AJ65" s="9">
        <v>-13</v>
      </c>
      <c r="AK65" s="71">
        <f t="shared" si="84"/>
        <v>-29</v>
      </c>
      <c r="AM65" s="9">
        <v>-8</v>
      </c>
      <c r="AN65" s="9">
        <v>-9</v>
      </c>
      <c r="AO65" s="9">
        <v>-11</v>
      </c>
      <c r="AP65" s="9">
        <v>-3</v>
      </c>
      <c r="AQ65" s="71">
        <f t="shared" si="85"/>
        <v>-31</v>
      </c>
      <c r="AS65" s="9">
        <v>-12</v>
      </c>
      <c r="AT65" s="9">
        <v>-5</v>
      </c>
      <c r="AU65" s="9">
        <v>-7</v>
      </c>
      <c r="AV65" s="9">
        <v>-8</v>
      </c>
      <c r="AW65" s="71">
        <f t="shared" si="86"/>
        <v>-32</v>
      </c>
      <c r="AY65" s="9">
        <v>-17</v>
      </c>
      <c r="AZ65" s="9">
        <v>-4</v>
      </c>
      <c r="BA65" s="9">
        <v>-9</v>
      </c>
      <c r="BB65" s="9">
        <v>-16</v>
      </c>
      <c r="BC65" s="71">
        <f t="shared" si="87"/>
        <v>-46</v>
      </c>
      <c r="BE65" s="9">
        <v>-12</v>
      </c>
      <c r="BF65" s="9">
        <v>-16</v>
      </c>
      <c r="BG65" s="9">
        <v>-13</v>
      </c>
      <c r="BH65" s="27">
        <v>-6</v>
      </c>
      <c r="BI65" s="71">
        <f t="shared" si="88"/>
        <v>-47</v>
      </c>
      <c r="BK65" s="9">
        <v>-9</v>
      </c>
      <c r="BL65" s="9">
        <v>-8</v>
      </c>
      <c r="BM65" s="9">
        <v>-5</v>
      </c>
      <c r="BN65" s="27">
        <v>-1</v>
      </c>
      <c r="BO65" s="71">
        <f t="shared" si="89"/>
        <v>-23</v>
      </c>
      <c r="BQ65" s="9">
        <v>-11</v>
      </c>
      <c r="BR65" s="9">
        <v>-4</v>
      </c>
      <c r="BS65" s="9">
        <v>-1</v>
      </c>
      <c r="BT65" s="27">
        <v>4</v>
      </c>
      <c r="BU65" s="71">
        <f t="shared" si="90"/>
        <v>-12</v>
      </c>
      <c r="BW65" s="9">
        <v>-5</v>
      </c>
      <c r="BX65" s="9">
        <v>-7</v>
      </c>
      <c r="BY65" s="9">
        <v>-6</v>
      </c>
      <c r="BZ65" s="27">
        <v>10</v>
      </c>
      <c r="CA65" s="71">
        <f t="shared" si="91"/>
        <v>-8</v>
      </c>
      <c r="CC65" s="9">
        <v>-9</v>
      </c>
      <c r="CD65" s="9">
        <v>-5</v>
      </c>
      <c r="CE65" s="9">
        <v>-3</v>
      </c>
      <c r="CF65" s="27">
        <v>-1</v>
      </c>
      <c r="CG65" s="71">
        <f t="shared" si="92"/>
        <v>-18</v>
      </c>
      <c r="CI65" s="9">
        <v>-6</v>
      </c>
      <c r="CJ65" s="9">
        <v>-10</v>
      </c>
      <c r="CK65" s="9">
        <v>-5</v>
      </c>
      <c r="CL65" s="27">
        <v>16</v>
      </c>
      <c r="CM65" s="71">
        <f t="shared" si="93"/>
        <v>-5</v>
      </c>
      <c r="CO65" s="9">
        <v>-7</v>
      </c>
      <c r="CP65" s="9">
        <v>-33</v>
      </c>
      <c r="CQ65" s="9"/>
      <c r="CR65" s="27"/>
      <c r="CS65" s="71">
        <f t="shared" si="94"/>
        <v>-40</v>
      </c>
    </row>
    <row r="66" spans="1:246" hidden="1">
      <c r="A66" s="2" t="s">
        <v>41</v>
      </c>
      <c r="C66" s="9">
        <v>-9</v>
      </c>
      <c r="D66" s="9">
        <v>-9</v>
      </c>
      <c r="E66" s="9">
        <v>-11</v>
      </c>
      <c r="F66" s="9">
        <v>-13</v>
      </c>
      <c r="G66" s="71">
        <f t="shared" si="79"/>
        <v>-42</v>
      </c>
      <c r="H66" s="8"/>
      <c r="I66" s="9">
        <v>-16</v>
      </c>
      <c r="J66" s="9">
        <v>-22</v>
      </c>
      <c r="K66" s="9">
        <v>-15</v>
      </c>
      <c r="L66" s="9">
        <v>-28</v>
      </c>
      <c r="M66" s="71">
        <f t="shared" si="80"/>
        <v>-81</v>
      </c>
      <c r="O66" s="9">
        <v>-4</v>
      </c>
      <c r="P66" s="9">
        <v>-3</v>
      </c>
      <c r="Q66" s="9">
        <v>-6</v>
      </c>
      <c r="R66" s="9">
        <v>2</v>
      </c>
      <c r="S66" s="71">
        <f t="shared" si="81"/>
        <v>-11</v>
      </c>
      <c r="U66" s="9">
        <v>0</v>
      </c>
      <c r="V66" s="9">
        <v>0</v>
      </c>
      <c r="W66" s="9">
        <v>0</v>
      </c>
      <c r="X66" s="9">
        <v>0</v>
      </c>
      <c r="Y66" s="71">
        <f t="shared" si="82"/>
        <v>0</v>
      </c>
      <c r="AA66" s="9"/>
      <c r="AB66" s="9"/>
      <c r="AC66" s="9"/>
      <c r="AD66" s="9"/>
      <c r="AE66" s="71">
        <f t="shared" si="83"/>
        <v>0</v>
      </c>
      <c r="AG66" s="9"/>
      <c r="AH66" s="9"/>
      <c r="AI66" s="9"/>
      <c r="AJ66" s="9"/>
      <c r="AK66" s="71">
        <f t="shared" si="84"/>
        <v>0</v>
      </c>
      <c r="AM66" s="9"/>
      <c r="AN66" s="9"/>
      <c r="AO66" s="9"/>
      <c r="AP66" s="9"/>
      <c r="AQ66" s="71">
        <f t="shared" si="85"/>
        <v>0</v>
      </c>
      <c r="AS66" s="9"/>
      <c r="AT66" s="9"/>
      <c r="AU66" s="9"/>
      <c r="AV66" s="9"/>
      <c r="AW66" s="71">
        <f t="shared" si="86"/>
        <v>0</v>
      </c>
      <c r="AY66" s="9"/>
      <c r="AZ66" s="9"/>
      <c r="BA66" s="9"/>
      <c r="BB66" s="9"/>
      <c r="BC66" s="71">
        <f t="shared" si="87"/>
        <v>0</v>
      </c>
      <c r="BE66" s="9"/>
      <c r="BF66" s="9"/>
      <c r="BG66" s="9"/>
      <c r="BH66" s="27"/>
      <c r="BI66" s="71">
        <f t="shared" si="88"/>
        <v>0</v>
      </c>
      <c r="BK66" s="9"/>
      <c r="BL66" s="9"/>
      <c r="BM66" s="9"/>
      <c r="BN66" s="27"/>
      <c r="BO66" s="71">
        <f t="shared" si="89"/>
        <v>0</v>
      </c>
      <c r="BQ66" s="9"/>
      <c r="BR66" s="9"/>
      <c r="BS66" s="9"/>
      <c r="BT66" s="27"/>
      <c r="BU66" s="71">
        <f t="shared" si="90"/>
        <v>0</v>
      </c>
      <c r="BW66" s="9"/>
      <c r="BX66" s="9"/>
      <c r="BY66" s="9"/>
      <c r="BZ66" s="27"/>
      <c r="CA66" s="71">
        <f t="shared" si="91"/>
        <v>0</v>
      </c>
      <c r="CC66" s="9"/>
      <c r="CD66" s="9"/>
      <c r="CE66" s="9"/>
      <c r="CF66" s="27"/>
      <c r="CG66" s="71">
        <f t="shared" si="92"/>
        <v>0</v>
      </c>
      <c r="CI66" s="9"/>
      <c r="CJ66" s="9"/>
      <c r="CK66" s="9"/>
      <c r="CL66" s="27"/>
      <c r="CM66" s="71">
        <f t="shared" si="93"/>
        <v>0</v>
      </c>
      <c r="CO66" s="9"/>
      <c r="CP66" s="9"/>
      <c r="CQ66" s="9"/>
      <c r="CR66" s="27"/>
      <c r="CS66" s="71">
        <f t="shared" si="94"/>
        <v>0</v>
      </c>
    </row>
    <row r="67" spans="1:246">
      <c r="A67" s="2" t="s">
        <v>96</v>
      </c>
      <c r="C67" s="9">
        <f>-17+10</f>
        <v>-7</v>
      </c>
      <c r="D67" s="9">
        <v>-9</v>
      </c>
      <c r="E67" s="9">
        <f>-32+30</f>
        <v>-2</v>
      </c>
      <c r="F67" s="9">
        <v>-8</v>
      </c>
      <c r="G67" s="71">
        <f t="shared" si="79"/>
        <v>-26</v>
      </c>
      <c r="H67" s="8"/>
      <c r="I67" s="9">
        <v>-2</v>
      </c>
      <c r="J67" s="9">
        <v>-5</v>
      </c>
      <c r="K67" s="9">
        <v>-7</v>
      </c>
      <c r="L67" s="9">
        <f>-8</f>
        <v>-8</v>
      </c>
      <c r="M67" s="71">
        <f t="shared" si="80"/>
        <v>-22</v>
      </c>
      <c r="O67" s="9">
        <v>2</v>
      </c>
      <c r="P67" s="9">
        <v>-6</v>
      </c>
      <c r="Q67" s="9">
        <v>-4</v>
      </c>
      <c r="R67" s="9">
        <v>11</v>
      </c>
      <c r="S67" s="71">
        <f t="shared" si="81"/>
        <v>3</v>
      </c>
      <c r="U67" s="9">
        <v>-4</v>
      </c>
      <c r="V67" s="9">
        <v>-6</v>
      </c>
      <c r="W67" s="9">
        <v>-4</v>
      </c>
      <c r="X67" s="9">
        <v>-6</v>
      </c>
      <c r="Y67" s="71">
        <f t="shared" si="82"/>
        <v>-20</v>
      </c>
      <c r="AA67" s="9">
        <v>-4</v>
      </c>
      <c r="AB67" s="9">
        <v>-5</v>
      </c>
      <c r="AC67" s="9">
        <v>-4</v>
      </c>
      <c r="AD67" s="9">
        <v>-6</v>
      </c>
      <c r="AE67" s="71">
        <f t="shared" si="83"/>
        <v>-19</v>
      </c>
      <c r="AG67" s="9">
        <v>1</v>
      </c>
      <c r="AH67" s="9">
        <v>-3</v>
      </c>
      <c r="AI67" s="9">
        <v>-5</v>
      </c>
      <c r="AJ67" s="9">
        <v>-5</v>
      </c>
      <c r="AK67" s="71">
        <f t="shared" si="84"/>
        <v>-12</v>
      </c>
      <c r="AM67" s="9">
        <v>-4</v>
      </c>
      <c r="AN67" s="9">
        <v>-6</v>
      </c>
      <c r="AO67" s="9">
        <v>1</v>
      </c>
      <c r="AP67" s="9">
        <v>-4</v>
      </c>
      <c r="AQ67" s="71">
        <f t="shared" si="85"/>
        <v>-13</v>
      </c>
      <c r="AS67" s="9">
        <v>-4</v>
      </c>
      <c r="AT67" s="9">
        <v>-5</v>
      </c>
      <c r="AU67" s="9">
        <v>-4</v>
      </c>
      <c r="AV67" s="9">
        <v>-11</v>
      </c>
      <c r="AW67" s="71">
        <f t="shared" si="86"/>
        <v>-24</v>
      </c>
      <c r="AY67" s="9">
        <v>-7</v>
      </c>
      <c r="AZ67" s="9">
        <v>-14</v>
      </c>
      <c r="BA67" s="9">
        <v>-8</v>
      </c>
      <c r="BB67" s="9">
        <v>-18</v>
      </c>
      <c r="BC67" s="71">
        <f t="shared" si="87"/>
        <v>-47</v>
      </c>
      <c r="BE67" s="9">
        <v>-1</v>
      </c>
      <c r="BF67" s="9">
        <v>-9</v>
      </c>
      <c r="BG67" s="9">
        <v>-6</v>
      </c>
      <c r="BH67" s="27">
        <v>5</v>
      </c>
      <c r="BI67" s="71">
        <f t="shared" si="88"/>
        <v>-11</v>
      </c>
      <c r="BK67" s="9">
        <v>-7</v>
      </c>
      <c r="BL67" s="9">
        <v>-8</v>
      </c>
      <c r="BM67" s="9">
        <v>-11</v>
      </c>
      <c r="BN67" s="27">
        <v>-10</v>
      </c>
      <c r="BO67" s="71">
        <f t="shared" si="89"/>
        <v>-36</v>
      </c>
      <c r="BQ67" s="9">
        <v>-9</v>
      </c>
      <c r="BR67" s="9">
        <v>-10</v>
      </c>
      <c r="BS67" s="9">
        <v>-10</v>
      </c>
      <c r="BT67" s="27">
        <v>-8</v>
      </c>
      <c r="BU67" s="71">
        <f t="shared" si="90"/>
        <v>-37</v>
      </c>
      <c r="BW67" s="9">
        <v>-5</v>
      </c>
      <c r="BX67" s="9">
        <v>-12</v>
      </c>
      <c r="BY67" s="9">
        <v>-8</v>
      </c>
      <c r="BZ67" s="27">
        <v>-10</v>
      </c>
      <c r="CA67" s="71">
        <f t="shared" si="91"/>
        <v>-35</v>
      </c>
      <c r="CC67" s="9">
        <v>-10</v>
      </c>
      <c r="CD67" s="9">
        <v>-14</v>
      </c>
      <c r="CE67" s="9">
        <v>-20</v>
      </c>
      <c r="CF67" s="27">
        <v>-9</v>
      </c>
      <c r="CG67" s="71">
        <f t="shared" si="92"/>
        <v>-53</v>
      </c>
      <c r="CI67" s="9">
        <v>-8</v>
      </c>
      <c r="CJ67" s="9">
        <v>-8</v>
      </c>
      <c r="CK67" s="9">
        <v>-6</v>
      </c>
      <c r="CL67" s="27">
        <v>-12</v>
      </c>
      <c r="CM67" s="71">
        <f t="shared" si="93"/>
        <v>-34</v>
      </c>
      <c r="CO67" s="9">
        <v>-5</v>
      </c>
      <c r="CP67" s="9">
        <v>-10</v>
      </c>
      <c r="CQ67" s="9"/>
      <c r="CR67" s="27"/>
      <c r="CS67" s="71">
        <f t="shared" si="94"/>
        <v>-15</v>
      </c>
    </row>
    <row r="68" spans="1:246" s="154" customFormat="1" ht="18.75" customHeight="1">
      <c r="B68" s="155"/>
      <c r="C68" s="158">
        <f>SUM(C60:C67)</f>
        <v>-56</v>
      </c>
      <c r="D68" s="158">
        <f>SUM(D60:D67)</f>
        <v>74</v>
      </c>
      <c r="E68" s="158">
        <f>SUM(E60:E67)</f>
        <v>-48</v>
      </c>
      <c r="F68" s="158">
        <f>SUM(F60:F67)</f>
        <v>-53</v>
      </c>
      <c r="G68" s="159">
        <f>SUM(G60:G67)</f>
        <v>-83</v>
      </c>
      <c r="H68" s="156"/>
      <c r="I68" s="158">
        <f>SUM(I60:I67)</f>
        <v>-34</v>
      </c>
      <c r="J68" s="158">
        <f>SUM(J60:J67)</f>
        <v>-16</v>
      </c>
      <c r="K68" s="158">
        <f>SUM(K60:K67)</f>
        <v>-4</v>
      </c>
      <c r="L68" s="158">
        <f>SUM(L60:L67)</f>
        <v>-869</v>
      </c>
      <c r="M68" s="159">
        <f>SUM(M60:M67)</f>
        <v>-923</v>
      </c>
      <c r="O68" s="158">
        <f>SUM(O60:O67)</f>
        <v>-1</v>
      </c>
      <c r="P68" s="158">
        <f>SUM(P60:P67)</f>
        <v>36</v>
      </c>
      <c r="Q68" s="158">
        <f>SUM(Q60:Q67)</f>
        <v>43</v>
      </c>
      <c r="R68" s="158">
        <f>SUM(R60:R67)</f>
        <v>14</v>
      </c>
      <c r="S68" s="159">
        <f>SUM(S60:S67)</f>
        <v>92</v>
      </c>
      <c r="U68" s="158">
        <f>SUM(U60:U67)</f>
        <v>4</v>
      </c>
      <c r="V68" s="158">
        <f>SUM(V60:V67)</f>
        <v>67</v>
      </c>
      <c r="W68" s="158">
        <f>SUM(W60:W67)</f>
        <v>125</v>
      </c>
      <c r="X68" s="158">
        <f>SUM(X60:X67)</f>
        <v>51</v>
      </c>
      <c r="Y68" s="159">
        <f>SUM(Y60:Y67)</f>
        <v>247</v>
      </c>
      <c r="AA68" s="158">
        <f>SUM(AA60:AA67)</f>
        <v>23</v>
      </c>
      <c r="AB68" s="158">
        <f>SUM(AB60:AB67)</f>
        <v>-91</v>
      </c>
      <c r="AC68" s="158">
        <f>SUM(AC60:AC67)</f>
        <v>146</v>
      </c>
      <c r="AD68" s="158">
        <f>SUM(AD60:AD67)</f>
        <v>104</v>
      </c>
      <c r="AE68" s="159">
        <f>SUM(AE60:AE67)</f>
        <v>182</v>
      </c>
      <c r="AG68" s="158">
        <f>SUM(AG60:AG67)</f>
        <v>74</v>
      </c>
      <c r="AH68" s="158">
        <f>SUM(AH60:AH67)</f>
        <v>125</v>
      </c>
      <c r="AI68" s="158">
        <f>SUM(AI60:AI67)</f>
        <v>139</v>
      </c>
      <c r="AJ68" s="158">
        <f>SUM(AJ60:AJ67)</f>
        <v>147</v>
      </c>
      <c r="AK68" s="159">
        <f>SUM(AK60:AK67)</f>
        <v>485</v>
      </c>
      <c r="AM68" s="158">
        <f>SUM(AM60:AM67)</f>
        <v>124</v>
      </c>
      <c r="AN68" s="158">
        <f>SUM(AN60:AN67)</f>
        <v>324</v>
      </c>
      <c r="AO68" s="158">
        <f>SUM(AO60:AO67)</f>
        <v>202</v>
      </c>
      <c r="AP68" s="158">
        <f>SUM(AP60:AP67)</f>
        <v>168</v>
      </c>
      <c r="AQ68" s="159">
        <f>SUM(AQ60:AQ67)</f>
        <v>818</v>
      </c>
      <c r="AS68" s="158">
        <f>SUM(AS60:AS67)</f>
        <v>191</v>
      </c>
      <c r="AT68" s="158">
        <f>SUM(AT60:AT67)</f>
        <v>331</v>
      </c>
      <c r="AU68" s="158">
        <f>SUM(AU60:AU67)</f>
        <v>248</v>
      </c>
      <c r="AV68" s="158">
        <f>SUM(AV60:AV67)</f>
        <v>363</v>
      </c>
      <c r="AW68" s="159">
        <f>SUM(AW60:AW67)</f>
        <v>1133</v>
      </c>
      <c r="AY68" s="158">
        <f>SUM(AY60:AY67)</f>
        <v>226</v>
      </c>
      <c r="AZ68" s="158">
        <f>SUM(AZ60:AZ67)</f>
        <v>377</v>
      </c>
      <c r="BA68" s="158">
        <f>SUM(BA60:BA67)</f>
        <v>241</v>
      </c>
      <c r="BB68" s="158">
        <f>SUM(BB60:BB67)</f>
        <v>-26</v>
      </c>
      <c r="BC68" s="159">
        <f>SUM(BC60:BC67)</f>
        <v>818</v>
      </c>
      <c r="BE68" s="158">
        <f>SUM(BE60:BE67)</f>
        <v>36</v>
      </c>
      <c r="BF68" s="158">
        <f>SUM(BF60:BF67)</f>
        <v>146</v>
      </c>
      <c r="BG68" s="158">
        <f>SUM(BG60:BG67)</f>
        <v>131</v>
      </c>
      <c r="BH68" s="158">
        <f>SUM(BH60:BH67)</f>
        <v>103</v>
      </c>
      <c r="BI68" s="159">
        <f>SUM(BI60:BI67)</f>
        <v>416</v>
      </c>
      <c r="BK68" s="158">
        <f>SUM(BK60:BK67)</f>
        <v>120</v>
      </c>
      <c r="BL68" s="158">
        <f>SUM(BL60:BL67)</f>
        <v>160</v>
      </c>
      <c r="BM68" s="158">
        <f>SUM(BM60:BM67)</f>
        <v>148</v>
      </c>
      <c r="BN68" s="158">
        <f>SUM(BN60:BN67)</f>
        <v>52</v>
      </c>
      <c r="BO68" s="159">
        <f>SUM(BO60:BO67)</f>
        <v>480</v>
      </c>
      <c r="BQ68" s="158">
        <f>SUM(BQ60:BQ67)</f>
        <v>97</v>
      </c>
      <c r="BR68" s="158">
        <f>SUM(BR60:BR67)</f>
        <v>96</v>
      </c>
      <c r="BS68" s="158">
        <f>SUM(BS60:BS67)</f>
        <v>185</v>
      </c>
      <c r="BT68" s="158">
        <f>SUM(BT60:BT67)</f>
        <v>67</v>
      </c>
      <c r="BU68" s="159">
        <f>SUM(BU60:BU67)</f>
        <v>445</v>
      </c>
      <c r="BW68" s="158">
        <f>SUM(BW60:BW67)</f>
        <v>103</v>
      </c>
      <c r="BX68" s="158">
        <f>SUM(BX60:BX67)</f>
        <v>99</v>
      </c>
      <c r="BY68" s="158">
        <f>SUM(BY60:BY67)</f>
        <v>102</v>
      </c>
      <c r="BZ68" s="158">
        <f>SUM(BZ60:BZ67)</f>
        <v>169</v>
      </c>
      <c r="CA68" s="159">
        <f>SUM(CA60:CA67)</f>
        <v>473</v>
      </c>
      <c r="CC68" s="158">
        <f>SUM(CC60:CC67)</f>
        <v>88</v>
      </c>
      <c r="CD68" s="158">
        <f>SUM(CD60:CD67)</f>
        <v>149</v>
      </c>
      <c r="CE68" s="158">
        <f>SUM(CE60:CE67)</f>
        <v>105</v>
      </c>
      <c r="CF68" s="158">
        <f>SUM(CF60:CF67)</f>
        <v>166</v>
      </c>
      <c r="CG68" s="159">
        <f>SUM(CG60:CG67)</f>
        <v>508</v>
      </c>
      <c r="CI68" s="158">
        <f>SUM(CI60:CI67)</f>
        <v>161</v>
      </c>
      <c r="CJ68" s="158">
        <f>SUM(CJ60:CJ67)</f>
        <v>86</v>
      </c>
      <c r="CK68" s="158">
        <f>SUM(CK60:CK67)</f>
        <v>97</v>
      </c>
      <c r="CL68" s="158">
        <f>SUM(CL60:CL67)</f>
        <v>161</v>
      </c>
      <c r="CM68" s="159">
        <f>SUM(CM60:CM67)</f>
        <v>505</v>
      </c>
      <c r="CO68" s="158">
        <f>SUM(CO60:CO67)</f>
        <v>108</v>
      </c>
      <c r="CP68" s="158">
        <f>SUM(CP60:CP67)</f>
        <v>-42</v>
      </c>
      <c r="CQ68" s="158"/>
      <c r="CR68" s="158"/>
      <c r="CS68" s="159">
        <f>SUM(CS60:CS67)</f>
        <v>66</v>
      </c>
    </row>
    <row r="69" spans="1:246" s="160" customFormat="1">
      <c r="B69" s="161"/>
      <c r="C69" s="162"/>
      <c r="D69" s="162"/>
      <c r="E69" s="162"/>
      <c r="F69" s="162"/>
      <c r="G69" s="136"/>
      <c r="H69" s="39"/>
      <c r="I69" s="162"/>
      <c r="J69" s="162"/>
      <c r="K69" s="162"/>
      <c r="L69" s="162"/>
      <c r="M69" s="136"/>
      <c r="O69" s="162"/>
      <c r="P69" s="162"/>
      <c r="Q69" s="162"/>
      <c r="R69" s="162"/>
      <c r="S69" s="136"/>
      <c r="U69" s="162"/>
      <c r="V69" s="162"/>
      <c r="W69" s="162"/>
      <c r="X69" s="162"/>
      <c r="Y69" s="136"/>
      <c r="AA69" s="162"/>
      <c r="AB69" s="162"/>
      <c r="AC69" s="162"/>
      <c r="AD69" s="162"/>
      <c r="AE69" s="136"/>
      <c r="AG69" s="162"/>
      <c r="AH69" s="162"/>
      <c r="AI69" s="162"/>
      <c r="AJ69" s="162"/>
      <c r="AK69" s="136"/>
      <c r="AM69" s="162"/>
      <c r="AN69" s="162"/>
      <c r="AO69" s="162"/>
      <c r="AP69" s="162"/>
      <c r="AQ69" s="136"/>
      <c r="AS69" s="162"/>
      <c r="AT69" s="162"/>
      <c r="AU69" s="162"/>
      <c r="AV69" s="162"/>
      <c r="AW69" s="136"/>
      <c r="AY69" s="162"/>
      <c r="AZ69" s="162"/>
      <c r="BA69" s="162"/>
      <c r="BB69" s="162"/>
      <c r="BC69" s="136"/>
      <c r="BE69" s="162"/>
      <c r="BF69" s="162"/>
      <c r="BG69" s="162"/>
      <c r="BH69" s="162"/>
      <c r="BI69" s="136"/>
      <c r="BK69" s="162"/>
      <c r="BL69" s="162"/>
      <c r="BM69" s="162"/>
      <c r="BN69" s="162"/>
      <c r="BO69" s="136"/>
      <c r="BQ69" s="162"/>
      <c r="BR69" s="162"/>
      <c r="BS69" s="162"/>
      <c r="BT69" s="162"/>
      <c r="BU69" s="136"/>
      <c r="BW69" s="162"/>
      <c r="BX69" s="162"/>
      <c r="BY69" s="162"/>
      <c r="BZ69" s="162"/>
      <c r="CA69" s="136"/>
      <c r="CC69" s="162"/>
      <c r="CD69" s="162"/>
      <c r="CE69" s="162"/>
      <c r="CF69" s="162"/>
      <c r="CG69" s="136"/>
      <c r="CI69" s="162"/>
      <c r="CJ69" s="162"/>
      <c r="CK69" s="162"/>
      <c r="CL69" s="162"/>
      <c r="CM69" s="136"/>
      <c r="CO69" s="162"/>
      <c r="CP69" s="162"/>
      <c r="CQ69" s="162"/>
      <c r="CR69" s="162"/>
      <c r="CS69" s="136"/>
    </row>
    <row r="70" spans="1:246">
      <c r="A70" s="6" t="s">
        <v>39</v>
      </c>
      <c r="C70" s="9"/>
      <c r="D70" s="9"/>
      <c r="E70" s="9"/>
      <c r="F70" s="9"/>
      <c r="G70" s="79"/>
      <c r="H70" s="8"/>
      <c r="I70" s="9"/>
      <c r="J70" s="9"/>
      <c r="K70" s="9"/>
      <c r="L70" s="9"/>
      <c r="M70" s="79"/>
      <c r="O70" s="9"/>
      <c r="P70" s="9"/>
      <c r="Q70" s="9"/>
      <c r="R70" s="9"/>
      <c r="S70" s="79"/>
      <c r="U70" s="9"/>
      <c r="V70" s="9"/>
      <c r="W70" s="9"/>
      <c r="X70" s="9"/>
      <c r="Y70" s="79"/>
      <c r="AA70" s="9"/>
      <c r="AB70" s="9"/>
      <c r="AC70" s="9"/>
      <c r="AD70" s="9"/>
      <c r="AE70" s="79"/>
      <c r="AG70" s="9"/>
      <c r="AH70" s="9"/>
      <c r="AI70" s="9"/>
      <c r="AJ70" s="9"/>
      <c r="AK70" s="79"/>
      <c r="AM70" s="9"/>
      <c r="AN70" s="8"/>
      <c r="AO70" s="8"/>
      <c r="AP70" s="13"/>
      <c r="AQ70" s="125"/>
      <c r="AS70" s="9"/>
      <c r="AT70" s="8"/>
      <c r="AU70" s="8"/>
      <c r="AV70" s="13"/>
      <c r="AW70" s="125"/>
      <c r="AY70" s="9"/>
      <c r="AZ70" s="8"/>
      <c r="BA70" s="8"/>
      <c r="BB70" s="13"/>
      <c r="BC70" s="125"/>
      <c r="BE70" s="9"/>
      <c r="BF70" s="8"/>
      <c r="BG70" s="8"/>
      <c r="BH70" s="13"/>
      <c r="BI70" s="125"/>
      <c r="BK70" s="9"/>
      <c r="BL70" s="8"/>
      <c r="BM70" s="8"/>
      <c r="BN70" s="13"/>
      <c r="BO70" s="125"/>
      <c r="BQ70" s="9"/>
      <c r="BR70" s="8"/>
      <c r="BS70" s="8"/>
      <c r="BT70" s="13"/>
      <c r="BU70" s="125"/>
      <c r="BW70" s="9"/>
      <c r="BX70" s="8"/>
      <c r="BY70" s="8"/>
      <c r="BZ70" s="13"/>
      <c r="CA70" s="125"/>
      <c r="CC70" s="9"/>
      <c r="CD70" s="8"/>
      <c r="CE70" s="8"/>
      <c r="CF70" s="13"/>
      <c r="CG70" s="125"/>
      <c r="CI70" s="9"/>
      <c r="CJ70" s="8"/>
      <c r="CK70" s="8"/>
      <c r="CL70" s="13"/>
      <c r="CM70" s="125"/>
      <c r="CO70" s="9"/>
      <c r="CP70" s="8"/>
      <c r="CQ70" s="8"/>
      <c r="CR70" s="13"/>
      <c r="CS70" s="125"/>
    </row>
    <row r="71" spans="1:246" s="160" customFormat="1">
      <c r="A71" s="160" t="s">
        <v>130</v>
      </c>
      <c r="B71" s="161"/>
      <c r="C71" s="162">
        <v>1656</v>
      </c>
      <c r="D71" s="162">
        <v>1697</v>
      </c>
      <c r="E71" s="162">
        <v>1604</v>
      </c>
      <c r="F71" s="162">
        <v>1430</v>
      </c>
      <c r="G71" s="136"/>
      <c r="H71" s="39"/>
      <c r="I71" s="162">
        <v>1413</v>
      </c>
      <c r="J71" s="162">
        <v>1432</v>
      </c>
      <c r="K71" s="162">
        <v>1326</v>
      </c>
      <c r="L71" s="162">
        <v>503</v>
      </c>
      <c r="M71" s="136"/>
      <c r="O71" s="162">
        <v>563</v>
      </c>
      <c r="P71" s="162">
        <v>656</v>
      </c>
      <c r="Q71" s="162">
        <v>648</v>
      </c>
      <c r="R71" s="162">
        <v>550</v>
      </c>
      <c r="S71" s="136"/>
      <c r="U71" s="162">
        <v>714</v>
      </c>
      <c r="V71" s="162">
        <v>840</v>
      </c>
      <c r="W71" s="162">
        <v>871</v>
      </c>
      <c r="X71" s="162">
        <v>679</v>
      </c>
      <c r="Y71" s="136"/>
      <c r="AA71" s="162">
        <v>714</v>
      </c>
      <c r="AB71" s="162">
        <v>763</v>
      </c>
      <c r="AC71" s="162">
        <v>794</v>
      </c>
      <c r="AD71" s="162">
        <v>604</v>
      </c>
      <c r="AE71" s="136"/>
      <c r="AG71" s="162">
        <v>719</v>
      </c>
      <c r="AH71" s="162">
        <v>761</v>
      </c>
      <c r="AI71" s="162">
        <v>886</v>
      </c>
      <c r="AJ71" s="162">
        <v>906</v>
      </c>
      <c r="AK71" s="136"/>
      <c r="AM71" s="162">
        <v>1176</v>
      </c>
      <c r="AN71" s="163">
        <v>1179</v>
      </c>
      <c r="AO71" s="163">
        <v>1290</v>
      </c>
      <c r="AP71" s="162">
        <v>1243</v>
      </c>
      <c r="AQ71" s="175"/>
      <c r="AS71" s="162">
        <v>2278</v>
      </c>
      <c r="AT71" s="163">
        <v>2480</v>
      </c>
      <c r="AU71" s="163">
        <v>2450</v>
      </c>
      <c r="AV71" s="162">
        <v>2220</v>
      </c>
      <c r="AW71" s="175"/>
      <c r="AY71" s="162">
        <v>2616</v>
      </c>
      <c r="AZ71" s="163">
        <v>2967</v>
      </c>
      <c r="BA71" s="163">
        <v>3100</v>
      </c>
      <c r="BB71" s="162">
        <v>2442</v>
      </c>
      <c r="BC71" s="175"/>
      <c r="BE71" s="162">
        <v>2438.1</v>
      </c>
      <c r="BF71" s="176">
        <v>2926</v>
      </c>
      <c r="BG71" s="163">
        <v>3163</v>
      </c>
      <c r="BH71" s="162">
        <v>3313</v>
      </c>
      <c r="BI71" s="175"/>
      <c r="BK71" s="162">
        <v>3842</v>
      </c>
      <c r="BL71" s="176">
        <v>4321</v>
      </c>
      <c r="BM71" s="163">
        <v>4716</v>
      </c>
      <c r="BN71" s="162">
        <v>4701</v>
      </c>
      <c r="BO71" s="175"/>
      <c r="BQ71" s="162">
        <v>5191</v>
      </c>
      <c r="BR71" s="176">
        <v>5223</v>
      </c>
      <c r="BS71" s="163">
        <v>4809</v>
      </c>
      <c r="BT71" s="162">
        <v>4470</v>
      </c>
      <c r="BU71" s="175"/>
      <c r="BW71" s="162">
        <v>4550</v>
      </c>
      <c r="BX71" s="176">
        <v>4685</v>
      </c>
      <c r="BY71" s="163">
        <v>4931</v>
      </c>
      <c r="BZ71" s="162">
        <v>4346</v>
      </c>
      <c r="CA71" s="175"/>
      <c r="CC71" s="162">
        <v>4795</v>
      </c>
      <c r="CD71" s="176">
        <v>4820</v>
      </c>
      <c r="CE71" s="163">
        <v>4901</v>
      </c>
      <c r="CF71" s="162">
        <v>4557</v>
      </c>
      <c r="CG71" s="175"/>
      <c r="CI71" s="163">
        <v>4215</v>
      </c>
      <c r="CJ71" s="176">
        <v>4223</v>
      </c>
      <c r="CK71" s="163">
        <v>4447</v>
      </c>
      <c r="CL71" s="162">
        <v>3661</v>
      </c>
      <c r="CM71" s="175"/>
      <c r="CO71" s="163">
        <v>3764</v>
      </c>
      <c r="CP71" s="176">
        <v>3453</v>
      </c>
      <c r="CQ71" s="163"/>
      <c r="CR71" s="162"/>
      <c r="CS71" s="175"/>
    </row>
    <row r="72" spans="1:246">
      <c r="A72" s="2" t="s">
        <v>187</v>
      </c>
      <c r="C72" s="9">
        <v>1809</v>
      </c>
      <c r="D72" s="9">
        <v>1802</v>
      </c>
      <c r="E72" s="9">
        <v>1644</v>
      </c>
      <c r="F72" s="9">
        <v>1580</v>
      </c>
      <c r="G72" s="79"/>
      <c r="H72" s="8"/>
      <c r="I72" s="9">
        <v>1629</v>
      </c>
      <c r="J72" s="9">
        <v>1491</v>
      </c>
      <c r="K72" s="9">
        <v>1469</v>
      </c>
      <c r="L72" s="9">
        <v>1362</v>
      </c>
      <c r="M72" s="79"/>
      <c r="O72" s="9">
        <v>1355</v>
      </c>
      <c r="P72" s="9">
        <v>1341</v>
      </c>
      <c r="Q72" s="9">
        <v>1324</v>
      </c>
      <c r="R72" s="9">
        <v>1280</v>
      </c>
      <c r="S72" s="79"/>
      <c r="U72" s="9">
        <v>1370</v>
      </c>
      <c r="V72" s="9">
        <v>2260</v>
      </c>
      <c r="W72" s="9">
        <v>2175</v>
      </c>
      <c r="X72" s="9">
        <v>2106</v>
      </c>
      <c r="Y72" s="79"/>
      <c r="AA72" s="9">
        <v>1331</v>
      </c>
      <c r="AB72" s="9">
        <v>2090</v>
      </c>
      <c r="AC72" s="9">
        <v>2025</v>
      </c>
      <c r="AD72" s="9">
        <v>1974</v>
      </c>
      <c r="AE72" s="79"/>
      <c r="AG72" s="9">
        <v>2139</v>
      </c>
      <c r="AH72" s="9">
        <v>2285</v>
      </c>
      <c r="AI72" s="9">
        <v>2334</v>
      </c>
      <c r="AJ72" s="9">
        <v>2414</v>
      </c>
      <c r="AK72" s="79"/>
      <c r="AM72" s="9">
        <v>2568</v>
      </c>
      <c r="AN72" s="38">
        <v>2407</v>
      </c>
      <c r="AO72" s="38">
        <v>2314</v>
      </c>
      <c r="AP72" s="13">
        <v>2342</v>
      </c>
      <c r="AQ72" s="125"/>
      <c r="AS72" s="9">
        <v>2400</v>
      </c>
      <c r="AT72" s="38">
        <v>2457</v>
      </c>
      <c r="AU72" s="38">
        <v>2553</v>
      </c>
      <c r="AV72" s="13">
        <v>2511</v>
      </c>
      <c r="AW72" s="125"/>
      <c r="AY72" s="9">
        <v>2671</v>
      </c>
      <c r="AZ72" s="38">
        <v>2850</v>
      </c>
      <c r="BA72" s="38">
        <v>2906</v>
      </c>
      <c r="BB72" s="13">
        <v>2829</v>
      </c>
      <c r="BC72" s="125"/>
      <c r="BE72" s="9">
        <v>2842</v>
      </c>
      <c r="BF72" s="46">
        <v>2671</v>
      </c>
      <c r="BG72" s="38">
        <v>2528</v>
      </c>
      <c r="BH72" s="13">
        <v>2580</v>
      </c>
      <c r="BI72" s="125"/>
      <c r="BK72" s="9">
        <v>2805</v>
      </c>
      <c r="BL72" s="46">
        <v>2978</v>
      </c>
      <c r="BM72" s="38">
        <v>2859</v>
      </c>
      <c r="BN72" s="13">
        <v>2898</v>
      </c>
      <c r="BO72" s="125"/>
      <c r="BQ72" s="9">
        <v>2985</v>
      </c>
      <c r="BR72" s="46">
        <v>3008</v>
      </c>
      <c r="BS72" s="38">
        <v>3187</v>
      </c>
      <c r="BT72" s="13">
        <v>3232</v>
      </c>
      <c r="BU72" s="125"/>
      <c r="BW72" s="9">
        <v>3314</v>
      </c>
      <c r="BX72" s="46">
        <v>3345</v>
      </c>
      <c r="BY72" s="38">
        <v>3264</v>
      </c>
      <c r="BZ72" s="13">
        <v>3073</v>
      </c>
      <c r="CA72" s="125"/>
      <c r="CC72" s="9">
        <v>3374</v>
      </c>
      <c r="CD72" s="46">
        <v>3399</v>
      </c>
      <c r="CE72" s="38">
        <v>3222</v>
      </c>
      <c r="CF72" s="13">
        <v>3074</v>
      </c>
      <c r="CG72" s="125"/>
      <c r="CI72" s="11">
        <v>3251</v>
      </c>
      <c r="CJ72" s="46">
        <v>3325</v>
      </c>
      <c r="CK72" s="38">
        <v>3439</v>
      </c>
      <c r="CL72" s="13">
        <v>3283</v>
      </c>
      <c r="CM72" s="125"/>
      <c r="CO72" s="11">
        <v>3731</v>
      </c>
      <c r="CP72" s="46">
        <v>3838</v>
      </c>
      <c r="CQ72" s="38"/>
      <c r="CR72" s="13"/>
      <c r="CS72" s="125"/>
    </row>
    <row r="73" spans="1:246" hidden="1">
      <c r="A73" s="50" t="s">
        <v>36</v>
      </c>
      <c r="C73" s="9">
        <v>300</v>
      </c>
      <c r="D73" s="9">
        <v>288</v>
      </c>
      <c r="E73" s="9">
        <v>286</v>
      </c>
      <c r="F73" s="9">
        <v>271</v>
      </c>
      <c r="G73" s="79"/>
      <c r="H73" s="8"/>
      <c r="I73" s="9">
        <v>215</v>
      </c>
      <c r="J73" s="9">
        <v>246</v>
      </c>
      <c r="K73" s="9">
        <v>215</v>
      </c>
      <c r="L73" s="9">
        <v>152</v>
      </c>
      <c r="M73" s="79"/>
      <c r="O73" s="9">
        <v>150</v>
      </c>
      <c r="P73" s="9">
        <v>156</v>
      </c>
      <c r="Q73" s="9">
        <v>150</v>
      </c>
      <c r="R73" s="9">
        <v>164</v>
      </c>
      <c r="S73" s="79"/>
      <c r="U73" s="9">
        <v>161</v>
      </c>
      <c r="V73" s="9">
        <v>155</v>
      </c>
      <c r="W73" s="9">
        <v>71</v>
      </c>
      <c r="X73" s="9">
        <v>9</v>
      </c>
      <c r="Y73" s="79"/>
      <c r="AA73" s="9">
        <v>161</v>
      </c>
      <c r="AB73" s="9">
        <v>155</v>
      </c>
      <c r="AC73" s="9">
        <v>71</v>
      </c>
      <c r="AD73" s="9">
        <v>9</v>
      </c>
      <c r="AE73" s="79"/>
      <c r="AG73" s="9">
        <v>-9</v>
      </c>
      <c r="AH73" s="9">
        <v>-14</v>
      </c>
      <c r="AI73" s="9">
        <v>-14</v>
      </c>
      <c r="AJ73" s="9">
        <v>-8</v>
      </c>
      <c r="AK73" s="79"/>
      <c r="AM73" s="9"/>
      <c r="AN73" s="9"/>
      <c r="AO73" s="13"/>
      <c r="AP73" s="13"/>
      <c r="AQ73" s="129"/>
      <c r="AS73" s="9"/>
      <c r="AT73" s="9"/>
      <c r="AU73" s="13"/>
      <c r="AV73" s="13"/>
      <c r="AW73" s="129"/>
      <c r="AY73" s="9"/>
      <c r="AZ73" s="9"/>
      <c r="BA73" s="13"/>
      <c r="BB73" s="13"/>
      <c r="BC73" s="129"/>
      <c r="BE73" s="9"/>
      <c r="BF73" s="27"/>
      <c r="BG73" s="13"/>
      <c r="BH73" s="13"/>
      <c r="BI73" s="129"/>
      <c r="BK73" s="9"/>
      <c r="BL73" s="27"/>
      <c r="BM73" s="13"/>
      <c r="BN73" s="13"/>
      <c r="BO73" s="129"/>
      <c r="BQ73" s="9"/>
      <c r="BR73" s="27"/>
      <c r="BS73" s="13"/>
      <c r="BT73" s="13"/>
      <c r="BU73" s="129"/>
      <c r="BW73" s="9"/>
      <c r="BX73" s="27"/>
      <c r="BY73" s="13"/>
      <c r="BZ73" s="13"/>
      <c r="CA73" s="129"/>
      <c r="CC73" s="9"/>
      <c r="CD73" s="27"/>
      <c r="CE73" s="13"/>
      <c r="CF73" s="13"/>
      <c r="CG73" s="129"/>
      <c r="CI73" s="11"/>
      <c r="CJ73" s="27"/>
      <c r="CK73" s="13"/>
      <c r="CL73" s="13"/>
      <c r="CM73" s="129"/>
      <c r="CO73" s="11"/>
      <c r="CP73" s="27"/>
      <c r="CQ73" s="13"/>
      <c r="CR73" s="13"/>
      <c r="CS73" s="129"/>
    </row>
    <row r="74" spans="1:246">
      <c r="A74" s="2" t="s">
        <v>150</v>
      </c>
      <c r="C74" s="9">
        <v>459</v>
      </c>
      <c r="D74" s="9">
        <v>495</v>
      </c>
      <c r="E74" s="9">
        <v>522</v>
      </c>
      <c r="F74" s="9">
        <v>481</v>
      </c>
      <c r="G74" s="79"/>
      <c r="H74" s="8"/>
      <c r="I74" s="9">
        <v>496</v>
      </c>
      <c r="J74" s="9">
        <v>466</v>
      </c>
      <c r="K74" s="9">
        <v>461</v>
      </c>
      <c r="L74" s="9">
        <v>326</v>
      </c>
      <c r="M74" s="79"/>
      <c r="O74" s="9">
        <v>322</v>
      </c>
      <c r="P74" s="9">
        <v>320</v>
      </c>
      <c r="Q74" s="9">
        <v>315</v>
      </c>
      <c r="R74" s="9">
        <v>315</v>
      </c>
      <c r="S74" s="79"/>
      <c r="U74" s="9">
        <v>305</v>
      </c>
      <c r="V74" s="9">
        <v>324</v>
      </c>
      <c r="W74" s="9">
        <v>327</v>
      </c>
      <c r="X74" s="9">
        <v>319</v>
      </c>
      <c r="Y74" s="79"/>
      <c r="AA74" s="9">
        <v>89</v>
      </c>
      <c r="AB74" s="9">
        <v>86</v>
      </c>
      <c r="AC74" s="9">
        <v>78</v>
      </c>
      <c r="AD74" s="9">
        <v>66</v>
      </c>
      <c r="AE74" s="79"/>
      <c r="AG74" s="9">
        <v>60</v>
      </c>
      <c r="AH74" s="9">
        <v>60</v>
      </c>
      <c r="AI74" s="9">
        <v>61</v>
      </c>
      <c r="AJ74" s="9">
        <v>82</v>
      </c>
      <c r="AK74" s="79"/>
      <c r="AM74" s="9">
        <v>87</v>
      </c>
      <c r="AN74" s="9">
        <v>98</v>
      </c>
      <c r="AO74" s="9">
        <v>109</v>
      </c>
      <c r="AP74" s="9">
        <v>119</v>
      </c>
      <c r="AQ74" s="79"/>
      <c r="AS74" s="9">
        <v>96</v>
      </c>
      <c r="AT74" s="9">
        <v>123</v>
      </c>
      <c r="AU74" s="9">
        <v>138</v>
      </c>
      <c r="AV74" s="9">
        <v>169</v>
      </c>
      <c r="AW74" s="79"/>
      <c r="AY74" s="9">
        <v>179</v>
      </c>
      <c r="AZ74" s="9">
        <v>247</v>
      </c>
      <c r="BA74" s="9">
        <v>302</v>
      </c>
      <c r="BB74" s="9">
        <v>305</v>
      </c>
      <c r="BC74" s="79"/>
      <c r="BE74" s="11">
        <v>332</v>
      </c>
      <c r="BF74" s="11">
        <v>367</v>
      </c>
      <c r="BG74" s="11">
        <v>429</v>
      </c>
      <c r="BH74" s="9">
        <v>441</v>
      </c>
      <c r="BI74" s="79"/>
      <c r="BK74" s="11">
        <v>453</v>
      </c>
      <c r="BL74" s="11">
        <v>391</v>
      </c>
      <c r="BM74" s="11">
        <v>420</v>
      </c>
      <c r="BN74" s="9">
        <v>442</v>
      </c>
      <c r="BO74" s="79"/>
      <c r="BQ74" s="11">
        <v>466</v>
      </c>
      <c r="BR74" s="11">
        <v>481</v>
      </c>
      <c r="BS74" s="11">
        <v>562</v>
      </c>
      <c r="BT74" s="9">
        <v>577</v>
      </c>
      <c r="BU74" s="79"/>
      <c r="BW74" s="11">
        <v>577</v>
      </c>
      <c r="BX74" s="11">
        <v>0</v>
      </c>
      <c r="BY74" s="11">
        <v>0</v>
      </c>
      <c r="BZ74" s="9">
        <v>0</v>
      </c>
      <c r="CA74" s="79"/>
      <c r="CC74" s="11"/>
      <c r="CD74" s="11"/>
      <c r="CE74" s="11"/>
      <c r="CF74" s="9"/>
      <c r="CG74" s="79"/>
      <c r="CI74" s="11"/>
      <c r="CJ74" s="11"/>
      <c r="CK74" s="11"/>
      <c r="CL74" s="9"/>
      <c r="CM74" s="79"/>
      <c r="CO74" s="11"/>
      <c r="CP74" s="11"/>
      <c r="CQ74" s="11"/>
      <c r="CR74" s="9"/>
      <c r="CS74" s="79"/>
    </row>
    <row r="75" spans="1:246">
      <c r="A75" s="2" t="s">
        <v>128</v>
      </c>
      <c r="C75" s="9">
        <v>117</v>
      </c>
      <c r="D75" s="9">
        <v>150</v>
      </c>
      <c r="E75" s="9">
        <v>204</v>
      </c>
      <c r="F75" s="9">
        <v>193</v>
      </c>
      <c r="G75" s="79"/>
      <c r="H75" s="8"/>
      <c r="I75" s="9">
        <v>185</v>
      </c>
      <c r="J75" s="9">
        <v>191</v>
      </c>
      <c r="K75" s="9">
        <v>185</v>
      </c>
      <c r="L75" s="9">
        <v>173</v>
      </c>
      <c r="M75" s="79"/>
      <c r="O75" s="9">
        <v>165</v>
      </c>
      <c r="P75" s="9">
        <v>159</v>
      </c>
      <c r="Q75" s="9">
        <v>149</v>
      </c>
      <c r="R75" s="9">
        <v>124</v>
      </c>
      <c r="S75" s="79"/>
      <c r="U75" s="9">
        <v>114</v>
      </c>
      <c r="V75" s="9">
        <v>119</v>
      </c>
      <c r="W75" s="9">
        <v>67</v>
      </c>
      <c r="X75" s="9">
        <v>83</v>
      </c>
      <c r="Y75" s="79"/>
      <c r="AA75" s="9">
        <v>114</v>
      </c>
      <c r="AB75" s="9">
        <v>119</v>
      </c>
      <c r="AC75" s="9">
        <v>67</v>
      </c>
      <c r="AD75" s="9">
        <v>83</v>
      </c>
      <c r="AE75" s="79"/>
      <c r="AG75" s="9">
        <v>74</v>
      </c>
      <c r="AH75" s="9">
        <v>74</v>
      </c>
      <c r="AI75" s="9">
        <v>75</v>
      </c>
      <c r="AJ75" s="9">
        <v>97</v>
      </c>
      <c r="AK75" s="79"/>
      <c r="AM75" s="9">
        <v>104</v>
      </c>
      <c r="AN75" s="9">
        <v>98</v>
      </c>
      <c r="AO75" s="9">
        <v>111</v>
      </c>
      <c r="AP75" s="9">
        <v>100</v>
      </c>
      <c r="AQ75" s="79"/>
      <c r="AS75" s="9">
        <v>100</v>
      </c>
      <c r="AT75" s="9">
        <v>101</v>
      </c>
      <c r="AU75" s="9">
        <v>108</v>
      </c>
      <c r="AV75" s="9">
        <v>96</v>
      </c>
      <c r="AW75" s="79"/>
      <c r="AY75" s="9">
        <v>127</v>
      </c>
      <c r="AZ75" s="9">
        <v>136</v>
      </c>
      <c r="BA75" s="9">
        <v>132</v>
      </c>
      <c r="BB75" s="9">
        <v>120</v>
      </c>
      <c r="BC75" s="79"/>
      <c r="BE75" s="11">
        <v>121.6</v>
      </c>
      <c r="BF75" s="27">
        <v>132</v>
      </c>
      <c r="BG75" s="11">
        <v>124</v>
      </c>
      <c r="BH75" s="9">
        <v>122</v>
      </c>
      <c r="BI75" s="79"/>
      <c r="BK75" s="11">
        <v>146</v>
      </c>
      <c r="BL75" s="27">
        <v>165</v>
      </c>
      <c r="BM75" s="11">
        <v>163</v>
      </c>
      <c r="BN75" s="9">
        <v>172</v>
      </c>
      <c r="BO75" s="79"/>
      <c r="BQ75" s="11">
        <v>171</v>
      </c>
      <c r="BR75" s="27">
        <v>185</v>
      </c>
      <c r="BS75" s="11">
        <v>184</v>
      </c>
      <c r="BT75" s="9">
        <v>183</v>
      </c>
      <c r="BU75" s="79"/>
      <c r="BW75" s="11">
        <v>185</v>
      </c>
      <c r="BX75" s="27">
        <v>189</v>
      </c>
      <c r="BY75" s="11">
        <v>192</v>
      </c>
      <c r="BZ75" s="9">
        <v>210</v>
      </c>
      <c r="CA75" s="79"/>
      <c r="CC75" s="11">
        <v>204</v>
      </c>
      <c r="CD75" s="27">
        <v>224</v>
      </c>
      <c r="CE75" s="11">
        <v>211</v>
      </c>
      <c r="CF75" s="9">
        <v>200</v>
      </c>
      <c r="CG75" s="79"/>
      <c r="CI75" s="11">
        <v>202</v>
      </c>
      <c r="CJ75" s="27">
        <v>203</v>
      </c>
      <c r="CK75" s="11">
        <v>208</v>
      </c>
      <c r="CL75" s="9">
        <v>201</v>
      </c>
      <c r="CM75" s="79"/>
      <c r="CO75" s="11">
        <v>192</v>
      </c>
      <c r="CP75" s="27">
        <v>166</v>
      </c>
      <c r="CQ75" s="11"/>
      <c r="CR75" s="9"/>
      <c r="CS75" s="79"/>
    </row>
    <row r="76" spans="1:246" hidden="1">
      <c r="A76" s="2" t="s">
        <v>41</v>
      </c>
      <c r="C76" s="9">
        <v>15</v>
      </c>
      <c r="D76" s="9">
        <v>22</v>
      </c>
      <c r="E76" s="9">
        <v>13</v>
      </c>
      <c r="F76" s="9">
        <v>34</v>
      </c>
      <c r="G76" s="79"/>
      <c r="H76" s="8"/>
      <c r="I76" s="9">
        <v>34</v>
      </c>
      <c r="J76" s="9">
        <v>26</v>
      </c>
      <c r="K76" s="9">
        <v>27</v>
      </c>
      <c r="L76" s="9">
        <v>8</v>
      </c>
      <c r="M76" s="79"/>
      <c r="O76" s="9">
        <v>7</v>
      </c>
      <c r="P76" s="9">
        <v>11</v>
      </c>
      <c r="Q76" s="9">
        <v>9</v>
      </c>
      <c r="R76" s="9">
        <v>-6</v>
      </c>
      <c r="S76" s="79"/>
      <c r="U76" s="9">
        <v>23</v>
      </c>
      <c r="V76" s="9">
        <v>1</v>
      </c>
      <c r="W76" s="9">
        <v>1</v>
      </c>
      <c r="X76" s="9">
        <v>2</v>
      </c>
      <c r="Y76" s="79"/>
      <c r="AA76" s="9"/>
      <c r="AB76" s="9"/>
      <c r="AC76" s="9"/>
      <c r="AD76" s="9"/>
      <c r="AE76" s="79"/>
      <c r="AG76" s="9"/>
      <c r="AH76" s="9"/>
      <c r="AI76" s="9"/>
      <c r="AJ76" s="9"/>
      <c r="AK76" s="79"/>
      <c r="AM76" s="9"/>
      <c r="AN76" s="9"/>
      <c r="AO76" s="9"/>
      <c r="AP76" s="9"/>
      <c r="AQ76" s="79"/>
      <c r="AS76" s="9"/>
      <c r="AT76" s="9"/>
      <c r="AU76" s="9"/>
      <c r="AV76" s="9"/>
      <c r="AW76" s="79"/>
      <c r="AY76" s="9"/>
      <c r="AZ76" s="9"/>
      <c r="BA76" s="9"/>
      <c r="BB76" s="9"/>
      <c r="BC76" s="79"/>
      <c r="BE76" s="11"/>
      <c r="BF76" s="27"/>
      <c r="BG76" s="9"/>
      <c r="BH76" s="9"/>
      <c r="BI76" s="79"/>
      <c r="BK76" s="11"/>
      <c r="BL76" s="27"/>
      <c r="BM76" s="9"/>
      <c r="BN76" s="9"/>
      <c r="BO76" s="79"/>
      <c r="BQ76" s="11"/>
      <c r="BR76" s="27"/>
      <c r="BS76" s="9"/>
      <c r="BT76" s="9"/>
      <c r="BU76" s="79"/>
      <c r="BW76" s="11"/>
      <c r="BX76" s="27"/>
      <c r="BY76" s="9"/>
      <c r="BZ76" s="9"/>
      <c r="CA76" s="79"/>
      <c r="CC76" s="11"/>
      <c r="CD76" s="27"/>
      <c r="CE76" s="9"/>
      <c r="CF76" s="9"/>
      <c r="CG76" s="79"/>
      <c r="CI76" s="11"/>
      <c r="CJ76" s="27"/>
      <c r="CK76" s="9"/>
      <c r="CL76" s="9"/>
      <c r="CM76" s="79"/>
      <c r="CO76" s="11"/>
      <c r="CP76" s="27"/>
      <c r="CQ76" s="9"/>
      <c r="CR76" s="9"/>
      <c r="CS76" s="79"/>
    </row>
    <row r="77" spans="1:246">
      <c r="A77" s="2" t="s">
        <v>38</v>
      </c>
      <c r="C77" s="9">
        <v>20</v>
      </c>
      <c r="D77" s="9">
        <v>-94</v>
      </c>
      <c r="E77" s="9">
        <v>-93</v>
      </c>
      <c r="F77" s="9">
        <v>-73</v>
      </c>
      <c r="G77" s="79"/>
      <c r="H77" s="8"/>
      <c r="I77" s="9">
        <v>-28</v>
      </c>
      <c r="J77" s="9">
        <v>-75</v>
      </c>
      <c r="K77" s="9">
        <v>-67</v>
      </c>
      <c r="L77" s="9">
        <v>102</v>
      </c>
      <c r="M77" s="79"/>
      <c r="O77" s="9">
        <v>126</v>
      </c>
      <c r="P77" s="9">
        <v>116</v>
      </c>
      <c r="Q77" s="9">
        <v>120</v>
      </c>
      <c r="R77" s="9">
        <v>122</v>
      </c>
      <c r="S77" s="79"/>
      <c r="U77" s="9">
        <v>81</v>
      </c>
      <c r="V77" s="9">
        <v>72</v>
      </c>
      <c r="W77" s="9">
        <v>77</v>
      </c>
      <c r="X77" s="9">
        <v>134</v>
      </c>
      <c r="Y77" s="79"/>
      <c r="AA77" s="9">
        <v>27</v>
      </c>
      <c r="AB77" s="9">
        <v>99</v>
      </c>
      <c r="AC77" s="9">
        <v>104</v>
      </c>
      <c r="AD77" s="9">
        <v>164</v>
      </c>
      <c r="AE77" s="79"/>
      <c r="AG77" s="9">
        <v>159</v>
      </c>
      <c r="AH77" s="9">
        <v>160</v>
      </c>
      <c r="AI77" s="9">
        <v>157</v>
      </c>
      <c r="AJ77" s="9">
        <v>8</v>
      </c>
      <c r="AK77" s="79"/>
      <c r="AM77" s="9">
        <v>16</v>
      </c>
      <c r="AN77" s="9">
        <v>36</v>
      </c>
      <c r="AO77" s="9">
        <v>21</v>
      </c>
      <c r="AP77" s="9">
        <v>25</v>
      </c>
      <c r="AQ77" s="79"/>
      <c r="AS77" s="9">
        <v>20</v>
      </c>
      <c r="AT77" s="9">
        <v>30</v>
      </c>
      <c r="AU77" s="9">
        <v>46</v>
      </c>
      <c r="AV77" s="9">
        <v>9</v>
      </c>
      <c r="AW77" s="79"/>
      <c r="AY77" s="9">
        <v>-2</v>
      </c>
      <c r="AZ77" s="9">
        <v>22</v>
      </c>
      <c r="BA77" s="9">
        <v>25</v>
      </c>
      <c r="BB77" s="9">
        <v>29</v>
      </c>
      <c r="BC77" s="79"/>
      <c r="BE77" s="11">
        <v>32</v>
      </c>
      <c r="BF77" s="27">
        <v>33</v>
      </c>
      <c r="BG77" s="9">
        <v>16</v>
      </c>
      <c r="BH77" s="9">
        <v>9</v>
      </c>
      <c r="BI77" s="79"/>
      <c r="BK77" s="11">
        <v>-20</v>
      </c>
      <c r="BL77" s="27">
        <v>-12</v>
      </c>
      <c r="BM77" s="9">
        <v>-15</v>
      </c>
      <c r="BN77" s="9">
        <v>5</v>
      </c>
      <c r="BO77" s="79"/>
      <c r="BQ77" s="11">
        <v>1</v>
      </c>
      <c r="BR77" s="27">
        <v>31</v>
      </c>
      <c r="BS77" s="9">
        <v>35</v>
      </c>
      <c r="BT77" s="9">
        <v>34</v>
      </c>
      <c r="BU77" s="79"/>
      <c r="BW77" s="11">
        <v>35</v>
      </c>
      <c r="BX77" s="27">
        <v>31</v>
      </c>
      <c r="BY77" s="9">
        <v>21</v>
      </c>
      <c r="BZ77" s="9">
        <v>17</v>
      </c>
      <c r="CA77" s="79"/>
      <c r="CC77" s="11">
        <v>-18</v>
      </c>
      <c r="CD77" s="27">
        <v>6</v>
      </c>
      <c r="CE77" s="9">
        <v>37</v>
      </c>
      <c r="CF77" s="9">
        <v>-46</v>
      </c>
      <c r="CG77" s="79"/>
      <c r="CI77" s="11">
        <v>-63</v>
      </c>
      <c r="CJ77" s="27">
        <v>-52</v>
      </c>
      <c r="CK77" s="9">
        <v>-56</v>
      </c>
      <c r="CL77" s="9">
        <v>-35</v>
      </c>
      <c r="CM77" s="79"/>
      <c r="CO77" s="11">
        <v>-49</v>
      </c>
      <c r="CP77" s="27">
        <v>-34</v>
      </c>
      <c r="CQ77" s="9"/>
      <c r="CR77" s="9"/>
      <c r="CS77" s="79"/>
    </row>
    <row r="78" spans="1:246" s="154" customFormat="1" ht="18.75" customHeight="1">
      <c r="B78" s="155"/>
      <c r="C78" s="158">
        <f>SUM(C70:C77)</f>
        <v>4376</v>
      </c>
      <c r="D78" s="158">
        <f>SUM(D70:D77)</f>
        <v>4360</v>
      </c>
      <c r="E78" s="158">
        <f>SUM(E70:E77)</f>
        <v>4180</v>
      </c>
      <c r="F78" s="158">
        <f>SUM(F70:F77)</f>
        <v>3916</v>
      </c>
      <c r="G78" s="159"/>
      <c r="H78" s="156"/>
      <c r="I78" s="158">
        <f>SUM(I70:I77)</f>
        <v>3944</v>
      </c>
      <c r="J78" s="158">
        <f>SUM(J70:J77)</f>
        <v>3777</v>
      </c>
      <c r="K78" s="158">
        <f>SUM(K70:K77)</f>
        <v>3616</v>
      </c>
      <c r="L78" s="158">
        <f>SUM(L70:L77)</f>
        <v>2626</v>
      </c>
      <c r="M78" s="159"/>
      <c r="O78" s="158">
        <f>SUM(O70:O77)</f>
        <v>2688</v>
      </c>
      <c r="P78" s="158">
        <f>SUM(P70:P77)</f>
        <v>2759</v>
      </c>
      <c r="Q78" s="158">
        <f>SUM(Q70:Q77)</f>
        <v>2715</v>
      </c>
      <c r="R78" s="158">
        <f>SUM(R70:R77)</f>
        <v>2549</v>
      </c>
      <c r="S78" s="159"/>
      <c r="U78" s="158">
        <f>SUM(U70:U77)</f>
        <v>2768</v>
      </c>
      <c r="V78" s="158">
        <f>SUM(V70:V77)</f>
        <v>3771</v>
      </c>
      <c r="W78" s="158">
        <f>SUM(W70:W77)</f>
        <v>3589</v>
      </c>
      <c r="X78" s="158">
        <f>SUM(X70:X77)</f>
        <v>3332</v>
      </c>
      <c r="Y78" s="159"/>
      <c r="AA78" s="158">
        <f>SUM(AA70:AA77)</f>
        <v>2436</v>
      </c>
      <c r="AB78" s="158">
        <f>SUM(AB70:AB77)</f>
        <v>3312</v>
      </c>
      <c r="AC78" s="158">
        <f>SUM(AC70:AC77)</f>
        <v>3139</v>
      </c>
      <c r="AD78" s="158">
        <f>SUM(AD70:AD77)</f>
        <v>2900</v>
      </c>
      <c r="AE78" s="159"/>
      <c r="AG78" s="158">
        <f>SUM(AG70:AG77)</f>
        <v>3142</v>
      </c>
      <c r="AH78" s="158">
        <f>SUM(AH70:AH77)</f>
        <v>3326</v>
      </c>
      <c r="AI78" s="158">
        <f>SUM(AI70:AI77)</f>
        <v>3499</v>
      </c>
      <c r="AJ78" s="158">
        <f>SUM(AJ70:AJ77)</f>
        <v>3499</v>
      </c>
      <c r="AK78" s="159"/>
      <c r="AM78" s="158">
        <f>SUM(AM70:AM77)</f>
        <v>3951</v>
      </c>
      <c r="AN78" s="158">
        <f>SUM(AN70:AN77)</f>
        <v>3818</v>
      </c>
      <c r="AO78" s="158">
        <f>SUM(AO70:AO77)</f>
        <v>3845</v>
      </c>
      <c r="AP78" s="158">
        <f>SUM(AP70:AP77)</f>
        <v>3829</v>
      </c>
      <c r="AQ78" s="159"/>
      <c r="AS78" s="158">
        <f>SUM(AS70:AS77)</f>
        <v>4894</v>
      </c>
      <c r="AT78" s="158">
        <f>SUM(AT70:AT77)</f>
        <v>5191</v>
      </c>
      <c r="AU78" s="158">
        <f>SUM(AU70:AU77)</f>
        <v>5295</v>
      </c>
      <c r="AV78" s="158">
        <f>SUM(AV70:AV77)</f>
        <v>5005</v>
      </c>
      <c r="AW78" s="159"/>
      <c r="AY78" s="158">
        <f>SUM(AY70:AY77)</f>
        <v>5591</v>
      </c>
      <c r="AZ78" s="158">
        <f>SUM(AZ70:AZ77)</f>
        <v>6222</v>
      </c>
      <c r="BA78" s="158">
        <f>SUM(BA70:BA77)</f>
        <v>6465</v>
      </c>
      <c r="BB78" s="158">
        <f>SUM(BB70:BB77)</f>
        <v>5725</v>
      </c>
      <c r="BC78" s="159"/>
      <c r="BE78" s="158">
        <f>SUM(BE70:BE77)</f>
        <v>5765.7000000000007</v>
      </c>
      <c r="BF78" s="181">
        <f>SUM(BF70:BF77)</f>
        <v>6129</v>
      </c>
      <c r="BG78" s="158">
        <f>SUM(BG70:BG77)</f>
        <v>6260</v>
      </c>
      <c r="BH78" s="158">
        <f>SUM(BH70:BH77)</f>
        <v>6465</v>
      </c>
      <c r="BI78" s="159"/>
      <c r="BK78" s="158">
        <f>SUM(BK70:BK77)</f>
        <v>7226</v>
      </c>
      <c r="BL78" s="181">
        <f>SUM(BL70:BL77)</f>
        <v>7843</v>
      </c>
      <c r="BM78" s="158">
        <f>SUM(BM70:BM77)</f>
        <v>8143</v>
      </c>
      <c r="BN78" s="158">
        <f>SUM(BN70:BN77)</f>
        <v>8218</v>
      </c>
      <c r="BO78" s="159"/>
      <c r="BQ78" s="158">
        <f>SUM(BQ70:BQ77)</f>
        <v>8814</v>
      </c>
      <c r="BR78" s="181">
        <f>SUM(BR70:BR77)</f>
        <v>8928</v>
      </c>
      <c r="BS78" s="158">
        <f>SUM(BS70:BS77)</f>
        <v>8777</v>
      </c>
      <c r="BT78" s="158">
        <f>SUM(BT70:BT77)</f>
        <v>8496</v>
      </c>
      <c r="BU78" s="159"/>
      <c r="BW78" s="158">
        <f>SUM(BW70:BW77)</f>
        <v>8661</v>
      </c>
      <c r="BX78" s="181">
        <f>SUM(BX70:BX77)</f>
        <v>8250</v>
      </c>
      <c r="BY78" s="158">
        <f>SUM(BY70:BY77)</f>
        <v>8408</v>
      </c>
      <c r="BZ78" s="158">
        <f>SUM(BZ70:BZ77)</f>
        <v>7646</v>
      </c>
      <c r="CA78" s="159"/>
      <c r="CC78" s="158">
        <f>SUM(CC70:CC77)</f>
        <v>8355</v>
      </c>
      <c r="CD78" s="158">
        <f>SUM(CD70:CD77)</f>
        <v>8449</v>
      </c>
      <c r="CE78" s="158">
        <f>SUM(CE70:CE77)</f>
        <v>8371</v>
      </c>
      <c r="CF78" s="158">
        <f>SUM(CF70:CF77)</f>
        <v>7785</v>
      </c>
      <c r="CG78" s="159"/>
      <c r="CI78" s="156">
        <f>SUM(CI70:CI77)</f>
        <v>7605</v>
      </c>
      <c r="CJ78" s="156">
        <f>SUM(CJ70:CJ77)</f>
        <v>7699</v>
      </c>
      <c r="CK78" s="156">
        <f>SUM(CK70:CK77)</f>
        <v>8038</v>
      </c>
      <c r="CL78" s="156">
        <f>SUM(CL70:CL77)</f>
        <v>7110</v>
      </c>
      <c r="CM78" s="159"/>
      <c r="CO78" s="156">
        <f>SUM(CO70:CO77)</f>
        <v>7638</v>
      </c>
      <c r="CP78" s="156">
        <f>SUM(CP70:CP77)</f>
        <v>7423</v>
      </c>
      <c r="CQ78" s="156"/>
      <c r="CR78" s="156"/>
      <c r="CS78" s="159"/>
    </row>
    <row r="79" spans="1:246" s="164" customFormat="1" ht="18.75" customHeight="1">
      <c r="A79" s="164" t="s">
        <v>90</v>
      </c>
      <c r="B79" s="177"/>
      <c r="C79" s="178"/>
      <c r="D79" s="178"/>
      <c r="E79" s="178"/>
      <c r="F79" s="178">
        <f>(C52+D52+E52+F52)/((C78+D78+E78+F78)/4)</f>
        <v>-2.3764258555133079E-3</v>
      </c>
      <c r="G79" s="179"/>
      <c r="H79" s="39"/>
      <c r="I79" s="178">
        <f>(D52+E52+F52+I52)/((D78+E78+F78+I78)/4)</f>
        <v>2.9268292682926829E-3</v>
      </c>
      <c r="J79" s="178">
        <f>(E52+F52+I52+J52)/((E78+F78+I78+J78)/4)</f>
        <v>-1.9725611683631537E-2</v>
      </c>
      <c r="K79" s="178">
        <f>(F52+I52+J52+K52)/((F78+I78+J78+K78)/4)</f>
        <v>-8.3917917786664915E-3</v>
      </c>
      <c r="L79" s="178">
        <f>(I52+J52+K52+L52)/((I78+J78+K78+L78)/4)</f>
        <v>-0.23060946787939554</v>
      </c>
      <c r="M79" s="179"/>
      <c r="O79" s="178">
        <f>(J52+K52+L52+O52)/((J78+K78+L78+O78)/4)</f>
        <v>-0.24396002203509876</v>
      </c>
      <c r="P79" s="178">
        <f>(K52+L52+O52+P52)/((K78+L78+O78+P78)/4)</f>
        <v>-0.24912310719479852</v>
      </c>
      <c r="Q79" s="178">
        <f>(L52+O52+P52+Q52)/((L78+O78+P78+Q78)/4)</f>
        <v>-0.25472747497219134</v>
      </c>
      <c r="R79" s="178">
        <f>(O52+P52+Q52+R52)/((O78+P78+Q78+R78)/4)</f>
        <v>5.5643730744094858E-2</v>
      </c>
      <c r="S79" s="179"/>
      <c r="U79" s="178">
        <f>(P52+Q52+R52+U52)/((P78+Q78+R78+U78)/4)</f>
        <v>5.7084607543323139E-2</v>
      </c>
      <c r="V79" s="178">
        <f>(Q52+R52+U52+V52)/((Q78+R78+U78+V78)/4)</f>
        <v>6.5068202999237476E-2</v>
      </c>
      <c r="W79" s="178">
        <f>(R52+U52+V52+W52)/((R78+U78+V78+W78)/4)</f>
        <v>8.9295574662775101E-2</v>
      </c>
      <c r="X79" s="178">
        <f>(U52+V52+W52+X52)/((U78+V78+W78+X78)/4)</f>
        <v>9.6285289747399708E-2</v>
      </c>
      <c r="Y79" s="179"/>
      <c r="AA79" s="178"/>
      <c r="AB79" s="178"/>
      <c r="AC79" s="178"/>
      <c r="AD79" s="178"/>
      <c r="AE79" s="179"/>
      <c r="AG79" s="178"/>
      <c r="AH79" s="178"/>
      <c r="AI79" s="178"/>
      <c r="AJ79" s="178">
        <f>(AK68+Valuation!Z19+Valuation!Z20)/(AVERAGE(AD78:AJ78))</f>
        <v>0.14695099596724917</v>
      </c>
      <c r="AK79" s="179"/>
      <c r="AM79" s="178">
        <f>(AH68+AI68+AJ68+AM68+Valuation!AB19+Valuation!AB20)/AVERAGE(AG78:AM78)</f>
        <v>0.1524372739277717</v>
      </c>
      <c r="AN79" s="178">
        <f>(AI68+AJ68+AM68+AN68+Valuation!AC19+Valuation!AC20)/AVERAGE(AH78:AN78)</f>
        <v>0.165809981760902</v>
      </c>
      <c r="AO79" s="178">
        <f>(AJ68+AM68+AN68+AO68+Valuation!AD19+Valuation!AD20)/AVERAGE(AI78:AO78)</f>
        <v>0.17703632065334193</v>
      </c>
      <c r="AP79" s="178">
        <f>(AQ68+Valuation!AE19+Valuation!AE20)/(AVERAGE(AJ78:AP78))</f>
        <v>0.18741421180445569</v>
      </c>
      <c r="AQ79" s="179"/>
      <c r="AS79" s="178">
        <f>(AN68+AO68+AP68+AS68+Valuation!AG19+Valuation!AG20)/AVERAGE(AM78:AS78)</f>
        <v>0.19103112553473964</v>
      </c>
      <c r="AT79" s="178">
        <f>(AO68+AP68+AS68+AT68+Valuation!AH19+Valuation!AH20)/AVERAGE(AN78:AT78)</f>
        <v>0.2067015803865227</v>
      </c>
      <c r="AU79" s="178">
        <f>(AP68+AS68+AT68+AU68+Valuation!AI19+Valuation!AI20)/AVERAGE(AO78:AU78)</f>
        <v>0.20343541250975969</v>
      </c>
      <c r="AV79" s="178">
        <f>(AW68+Valuation!AJ19+Valuation!AJ20)/(AVERAGE(AP78:AV78))</f>
        <v>0.2195011150574048</v>
      </c>
      <c r="AW79" s="179"/>
      <c r="AY79" s="178">
        <f>(AT68+AU68+AV68+AY68+Valuation!AL19+Valuation!AL20)/AVERAGE(AS78:AY78)</f>
        <v>0.21134893748075148</v>
      </c>
      <c r="AZ79" s="178">
        <f>(AU68+AV68+AY68+AZ68+Valuation!AM19+Valuation!AM20)/AVERAGE(AT78:AZ78)</f>
        <v>0.20949311456196892</v>
      </c>
      <c r="BA79" s="178">
        <f>(AV68+AY68+AZ68+BA68-70+31)/AVERAGE(AU78:BA78)</f>
        <v>0.20435299881027363</v>
      </c>
      <c r="BB79" s="178">
        <f>(BC68+135)/(AVERAGE(AV78:BB78))</f>
        <v>0.16426503033645889</v>
      </c>
      <c r="BC79" s="179"/>
      <c r="BE79" s="182">
        <f>(AZ68+BA68+BB68+BE68+155)/AVERAGE(AY78:BE78)</f>
        <v>0.13151397272974635</v>
      </c>
      <c r="BF79" s="178">
        <f>(BA68+BB68+BE68+BF68+155+57)/AVERAGE(AZ78:BF78)</f>
        <v>0.10047283273995519</v>
      </c>
      <c r="BG79" s="178">
        <f>(BB68+BE68+BF68+BG68+219)/AVERAGE(BA78:BG78)</f>
        <v>8.3375350555451186E-2</v>
      </c>
      <c r="BH79" s="178">
        <f>(BI68+152)/(AVERAGE(BB78:BH78))</f>
        <v>9.359130259979502E-2</v>
      </c>
      <c r="BI79" s="179"/>
      <c r="BK79" s="182">
        <f>(BF68+BG68+BH68+BK68+155)/AVERAGE(BE78:BK78)</f>
        <v>0.10283962984013539</v>
      </c>
      <c r="BL79" s="182">
        <f>(BG68+BH68+BK68+BL68+121)/AVERAGE(BF78:BL78)</f>
        <v>9.3594316540400319E-2</v>
      </c>
      <c r="BM79" s="182">
        <f>(BH68+BK68+BL68+BM68+110)/AVERAGE(BG78:BM78)</f>
        <v>8.9183849514428037E-2</v>
      </c>
      <c r="BN79" s="178">
        <f>(BO68+86)/(AVERAGE(BH78:BN78))</f>
        <v>7.4680036944187886E-2</v>
      </c>
      <c r="BO79" s="179"/>
      <c r="BQ79" s="182">
        <f>(BL68+BM68+BN68+BQ68+69)/AVERAGE(BK78:BQ78)</f>
        <v>6.5351356723983692E-2</v>
      </c>
      <c r="BR79" s="182">
        <f>(BM68+BN68+BQ68+BR68+54)/AVERAGE(BL78:BR78)</f>
        <v>5.3282792161350304E-2</v>
      </c>
      <c r="BS79" s="182">
        <f>(BN68+BQ68+BR68+BS68+31)/AVERAGE(BM78:BS78)</f>
        <v>5.3754664179104475E-2</v>
      </c>
      <c r="BT79" s="182">
        <f>(BU68+33)/(AVERAGE(BN78:BT78))</f>
        <v>5.528184488700761E-2</v>
      </c>
      <c r="BU79" s="179"/>
      <c r="BW79" s="182">
        <f>(BR68+BS68+BT68+BW68+29)/AVERAGE(BQ78:BW78)</f>
        <v>5.495008700430442E-2</v>
      </c>
      <c r="BX79" s="182">
        <f>(BS68+BT68+BW68+BX68+31)/AVERAGE(BR78:BX78)</f>
        <v>5.6248840230098351E-2</v>
      </c>
      <c r="BY79" s="182">
        <f>(BT68+BW68+BX68+BY68+39)/AVERAGE(BS78:BY78)</f>
        <v>4.8131104432757324E-2</v>
      </c>
      <c r="BZ79" s="182">
        <f>(BW68+BX68+BY68+BZ68+37)/AVERAGE(BT78:BZ78)</f>
        <v>6.1503581679168369E-2</v>
      </c>
      <c r="CA79" s="179"/>
      <c r="CC79" s="182">
        <f>(BX68+BY68+BZ68+CC68+36)/AVERAGE(BW78:CC78)</f>
        <v>5.9777347531461765E-2</v>
      </c>
      <c r="CD79" s="182">
        <f>(BY68+BZ68+CC68+CD68+27)/AVERAGE(BX78:CD78)</f>
        <v>6.5072491972365476E-2</v>
      </c>
      <c r="CE79" s="182">
        <f>(BZ68+CC68+CD68+CE68+27)/AVERAGE(BY78:CE78)</f>
        <v>6.5245337020058705E-2</v>
      </c>
      <c r="CF79" s="182">
        <f>(CC68+CD68+CE68+CF68+39)/AVERAGE(BZ78:CF78)</f>
        <v>6.73545781411614E-2</v>
      </c>
      <c r="CG79" s="179"/>
      <c r="CI79" s="182">
        <f>(CD68+CE68+CF68+CI68-2.5)/AVERAGE(CC78:CI78)</f>
        <v>7.1305312461481571E-2</v>
      </c>
      <c r="CJ79" s="182">
        <f>(CE68+CF68+CI68+CJ68+25.1+74)/AVERAGE(CD78:CJ78)</f>
        <v>7.7313387957603549E-2</v>
      </c>
      <c r="CK79" s="182">
        <f>(CF68+CI68+CJ68+CK68+222-96)/AVERAGE(CE78:CK78)</f>
        <v>8.0510405590156459E-2</v>
      </c>
      <c r="CL79" s="182">
        <f>(CI68+CJ68+CK68+CL68+307-96)/AVERAGE(CF78:CL78)</f>
        <v>9.3626592044354945E-2</v>
      </c>
      <c r="CM79" s="179"/>
      <c r="CO79" s="182">
        <f>(CJ68+CK68+CL68+CO68+289)/AVERAGE(CI78:CO78)</f>
        <v>9.7269624573378843E-2</v>
      </c>
      <c r="CP79" s="182">
        <f>(CK68+CL68+CO68+CP68+222+19+286)/AVERAGE(CJ78:CP78)</f>
        <v>0.11224543631951039</v>
      </c>
      <c r="CQ79" s="182"/>
      <c r="CR79" s="182"/>
      <c r="CS79" s="179"/>
    </row>
    <row r="80" spans="1:246" s="6" customFormat="1" ht="18.75" customHeight="1">
      <c r="A80" s="6" t="s">
        <v>94</v>
      </c>
      <c r="B80" s="1"/>
      <c r="C80" s="47"/>
      <c r="D80" s="47"/>
      <c r="E80" s="47"/>
      <c r="F80" s="47">
        <f>(C45+D45+E45+F45)/((C71+D71+E71+F71)/4)</f>
        <v>5.1354313449193674E-2</v>
      </c>
      <c r="G80" s="171"/>
      <c r="H80" s="8"/>
      <c r="I80" s="47">
        <f>(D45+E45+F45+I45)/((D71+E71+F71+I71)/4)</f>
        <v>4.296875E-2</v>
      </c>
      <c r="J80" s="47">
        <f>(E45+F45+I45+J45)/((E71+F71+I71+J71)/4)</f>
        <v>-1.9731246810682088E-2</v>
      </c>
      <c r="K80" s="47">
        <f>(F45+I45+J45+K45)/((F71+I71+J71+K71)/4)</f>
        <v>-2.4281378325299054E-2</v>
      </c>
      <c r="L80" s="47">
        <f>(I45+J45+K45+L45)/((I71+J71+K71+L71)/4)</f>
        <v>-0.59820282413350445</v>
      </c>
      <c r="M80" s="171"/>
      <c r="O80" s="47">
        <f>(J45+K45+L45+O45)/((J71+K71+L71+O71)/4)</f>
        <v>-0.68200836820083677</v>
      </c>
      <c r="P80" s="47">
        <f>(K45+L45+O45+P45)/((K71+L71+O71+P71)/4)</f>
        <v>-0.8241469816272966</v>
      </c>
      <c r="Q80" s="47">
        <f>(L45+O45+P45+Q45)/((L71+O71+P71+Q71)/4)</f>
        <v>-0.96540084388185654</v>
      </c>
      <c r="R80" s="47">
        <f>(O45+P45+Q45+R45)/((O71+P71+Q71+R71)/4)</f>
        <v>0.17211419114604881</v>
      </c>
      <c r="S80" s="171"/>
      <c r="U80" s="47">
        <f>(P45+Q45+R45+U45)/((P71+Q71+R71+U71)/4)</f>
        <v>0.16978193146417445</v>
      </c>
      <c r="V80" s="47">
        <f>(Q45+R45+U45+V45)/((Q71+R71+U71+V71)/4)</f>
        <v>0.1816860465116279</v>
      </c>
      <c r="W80" s="47">
        <f>(R45+U45+V45+W45)/((R71+U71+V71+W71)/4)</f>
        <v>0.17747899159663866</v>
      </c>
      <c r="X80" s="47">
        <f>(U45+V45+W45+X45)/((U71+V71+W71+X71)/4)</f>
        <v>0.15077319587628865</v>
      </c>
      <c r="Y80" s="171"/>
      <c r="AA80" s="47"/>
      <c r="AB80" s="47"/>
      <c r="AC80" s="47"/>
      <c r="AD80" s="47"/>
      <c r="AE80" s="171"/>
      <c r="AG80" s="47"/>
      <c r="AH80" s="47"/>
      <c r="AI80" s="47"/>
      <c r="AJ80" s="47">
        <f>AK61/(AVERAGE(AD71:AJ71))</f>
        <v>0.22574819401444787</v>
      </c>
      <c r="AK80" s="171"/>
      <c r="AM80" s="47">
        <f>(AH61+AI61+AJ61+AM61)/AVERAGE(AG72:AM72)</f>
        <v>9.3696763202725727E-2</v>
      </c>
      <c r="AN80" s="47">
        <f>(AI61+AJ61+AM61+AN61)/AVERAGE(AH71:AN71)</f>
        <v>0.26487367563162184</v>
      </c>
      <c r="AO80" s="47">
        <f>(AJ61+AM61+AN61+AO61)/AVERAGE(AI71:AO71)</f>
        <v>0.274967813132242</v>
      </c>
      <c r="AP80" s="47">
        <f>AQ61/(AVERAGE(AJ71:AP71))</f>
        <v>0.25975146703486368</v>
      </c>
      <c r="AQ80" s="171"/>
      <c r="AS80" s="47">
        <f>(AN61+AO61+AP61+AS61)/AVERAGE(AM71:AS71)</f>
        <v>0.22816075914038514</v>
      </c>
      <c r="AT80" s="47">
        <f>(AO61+AP61+AS61+AT61)/AVERAGE(AN71:AT71)</f>
        <v>0.23789846517119245</v>
      </c>
      <c r="AU80" s="47">
        <f>(AP61+AS61+AT61+AU61)/AVERAGE(AO71:AU71)</f>
        <v>0.22790267939636588</v>
      </c>
      <c r="AV80" s="47">
        <f>(AW61+Valuation!AJ19+Valuation!AJ18)/(AVERAGE(AP71:AV71))</f>
        <v>0.23615406241214509</v>
      </c>
      <c r="AW80" s="171"/>
      <c r="AY80" s="47">
        <f>(AT61+AU61+AV61+AY61+Valuation!AL19)/AVERAGE(AS71:AY71)</f>
        <v>0.21296911325141146</v>
      </c>
      <c r="AZ80" s="47">
        <f>(AU61+AV61+AY61+AZ61+Valuation!AM19)/AVERAGE(AT71:AZ71)</f>
        <v>0.19751825964030473</v>
      </c>
      <c r="BA80" s="47">
        <f>(AV61+AY61+AZ61+BA61-70)/AVERAGE(AU71:BA71)</f>
        <v>0.1789859956564068</v>
      </c>
      <c r="BB80" s="47">
        <f>(BC61+75)/(AVERAGE(AV71:BB71))</f>
        <v>0.13975271637317346</v>
      </c>
      <c r="BC80" s="171"/>
      <c r="BE80" s="49">
        <f>(AZ61+BA61+BB61+BE61+75)/AVERAGE(AY71:BE71)</f>
        <v>9.6216941554659333E-2</v>
      </c>
      <c r="BF80" s="47">
        <f>(BA61+BB61+BE61+BF61+75)/AVERAGE(AZ71:BF71)</f>
        <v>7.6406859317672327E-2</v>
      </c>
      <c r="BG80" s="47">
        <f>(BB61+BE61+BF61+BG61+50+25)/AVERAGE(BA71:BG71)</f>
        <v>5.7928367841581903E-2</v>
      </c>
      <c r="BH80" s="47">
        <f>(BI61+0)/(AVERAGE(BB71:BH71))</f>
        <v>6.896744876453742E-2</v>
      </c>
      <c r="BI80" s="171"/>
      <c r="BK80" s="49">
        <f>(BF61+BG61+BH61+BK61)/AVERAGE(BE71:BK71)</f>
        <v>7.5245024582166933E-2</v>
      </c>
      <c r="BL80" s="49">
        <f>(BG61+BH61+BK61+BL61)/AVERAGE(BF71:BL71)</f>
        <v>4.6114432109308282E-2</v>
      </c>
      <c r="BM80" s="49">
        <f>(BH61+BK61+BL61+BM61)/AVERAGE(BG71:BM71)</f>
        <v>4.5982950142082146E-2</v>
      </c>
      <c r="BN80" s="47">
        <f>(BO61+0)/(AVERAGE(BH71:BN71))</f>
        <v>2.6085291724501025E-2</v>
      </c>
      <c r="BO80" s="171"/>
      <c r="BQ80" s="49">
        <f>(BL61+BM61+BN61+BQ61)/AVERAGE(BK71:BQ71)</f>
        <v>1.3174651969610471E-2</v>
      </c>
      <c r="BR80" s="49">
        <f>(BM61+BN61+BQ61+BR61)/AVERAGE(BL71:BR71)</f>
        <v>-5.3825770122557142E-3</v>
      </c>
      <c r="BS80" s="49">
        <f>(BN61+BQ61+BR61+BS61)/AVERAGE(BM71:BS71)</f>
        <v>-2.2524350649350648E-2</v>
      </c>
      <c r="BT80" s="47">
        <f>(BU61+0)/(AVERAGE(BN71:BT71))</f>
        <v>-3.1565138968598833E-2</v>
      </c>
      <c r="BU80" s="171"/>
      <c r="BW80" s="49">
        <f>(BR61+BS61+BT61+BW61)/AVERAGE(BQ71:BW71)</f>
        <v>-3.0318029946788762E-2</v>
      </c>
      <c r="BX80" s="49">
        <f>(BS61+BT61+BW61+BX61)/AVERAGE(BR71:BX71)</f>
        <v>-2.4434427265450566E-2</v>
      </c>
      <c r="BY80" s="49">
        <f>(BT61+BW61+BX61+BY61)/AVERAGE(BS71:BY71)</f>
        <v>-1.8980592876946045E-2</v>
      </c>
      <c r="BZ80" s="49">
        <f>(BW61+BX61+BY61+BZ61)/AVERAGE(BT71:BZ71)</f>
        <v>-4.351231398485772E-4</v>
      </c>
      <c r="CA80" s="171"/>
      <c r="CC80" s="49">
        <f>(BX61+BY61+BZ61+CC61)/AVERAGE(BW71:CC71)</f>
        <v>-4.2905564851761278E-4</v>
      </c>
      <c r="CD80" s="49">
        <f>(BY61+BZ61+CC61+CD61)/AVERAGE(BX71:CD71)</f>
        <v>4.241421724562074E-3</v>
      </c>
      <c r="CE80" s="49">
        <f>(BZ61+CC61+CD61+CE61)/AVERAGE(BY71:CE71)</f>
        <v>3.3623334594208376E-3</v>
      </c>
      <c r="CF80" s="49">
        <f>(CC61+CD61+CE61+CF61+21)/AVERAGE(BZ71:CF71)</f>
        <v>7.6860668687817584E-3</v>
      </c>
      <c r="CG80" s="171"/>
      <c r="CI80" s="49">
        <f>(CD61+CE61+CF61+CI61+75.5)/AVERAGE(CC71:CI71)</f>
        <v>8.4807626245276529E-3</v>
      </c>
      <c r="CJ80" s="49">
        <f>(CE61+CF61+CI61+CJ61+178.1)/AVERAGE(CD71:CJ71)</f>
        <v>1.8511181546046838E-2</v>
      </c>
      <c r="CK80" s="49">
        <f>(CF61+CI61+CJ61+CK61+222)/AVERAGE(CE71:CK71)</f>
        <v>2.7525399453967682E-2</v>
      </c>
      <c r="CL80" s="49">
        <f>(CI61+CJ61+CK61+CL61+307)/AVERAGE(CF71:CL71)</f>
        <v>4.2174098469411926E-2</v>
      </c>
      <c r="CM80" s="171"/>
      <c r="CO80" s="49">
        <f>(CJ61+CK61+CL61+CO61+290)/AVERAGE(CI71:CO71)</f>
        <v>5.8099458394879372E-2</v>
      </c>
      <c r="CP80" s="49">
        <f>(CK61+CL61+CO61+CP61+222+286)/AVERAGE(CJ71:CP71)</f>
        <v>9.2848373235113565E-2</v>
      </c>
      <c r="CQ80" s="49"/>
      <c r="CR80" s="49"/>
      <c r="CS80" s="171"/>
      <c r="IL80" s="44"/>
    </row>
    <row r="81" spans="1:246" s="6" customFormat="1" ht="18.75" customHeight="1" thickBot="1">
      <c r="A81" s="6" t="s">
        <v>188</v>
      </c>
      <c r="B81" s="1"/>
      <c r="C81" s="47"/>
      <c r="D81" s="47"/>
      <c r="E81" s="47"/>
      <c r="F81" s="47">
        <f>(C46+D46+E46+F46)/((C72+D72+E72+F72)/4)</f>
        <v>3.9209948792977324E-2</v>
      </c>
      <c r="G81" s="171"/>
      <c r="H81" s="8"/>
      <c r="I81" s="47">
        <f>(D46+E46+F46+I46)/((D72+E72+F72+I72)/4)</f>
        <v>3.6063110443275731E-2</v>
      </c>
      <c r="J81" s="47">
        <f>(E46+F46+I46+J46)/((E72+F72+I72+J72)/4)</f>
        <v>5.8007566204287514E-2</v>
      </c>
      <c r="K81" s="47">
        <f>(F46+I46+J46+K46)/((F72+I72+J72+K72)/4)</f>
        <v>8.1698816663964988E-2</v>
      </c>
      <c r="L81" s="47">
        <f>(I46+J46+K46+L46)/((I72+J72+K72+L72)/4)</f>
        <v>0.10283985884725257</v>
      </c>
      <c r="M81" s="171"/>
      <c r="O81" s="47">
        <f>(J46+K46+L46+O46)/((J72+K72+L72+O72)/4)</f>
        <v>0.13175973225295051</v>
      </c>
      <c r="P81" s="47">
        <f>(K46+L46+O46+P46)/((K72+L72+O72+P72)/4)</f>
        <v>0.14474398407816175</v>
      </c>
      <c r="Q81" s="47">
        <f>(L46+O46+P46+Q46)/((L72+O72+P72+Q72)/4)</f>
        <v>0.15235971757710889</v>
      </c>
      <c r="R81" s="47">
        <f>(O46+P46+Q46+R46)/((O72+P72+Q72+R72)/4)</f>
        <v>0.16452830188679246</v>
      </c>
      <c r="S81" s="171"/>
      <c r="U81" s="47">
        <f>(P46+Q46+R46+U46)/((P72+Q72+R72+U72)/4)</f>
        <v>0.16857949200376293</v>
      </c>
      <c r="V81" s="47">
        <f>(Q46+R46+U46+V46)/((Q72+R72+U72+V72)/4)</f>
        <v>0.15399422521655437</v>
      </c>
      <c r="W81" s="47">
        <f>(R46+U46+V46+W46)/((R72+U72+V72+W72)/4)</f>
        <v>0.14622441778405082</v>
      </c>
      <c r="X81" s="47">
        <f>(U46+V46+W46+X46)/((U72+V72+W72+X72)/4)</f>
        <v>0.13550752117305018</v>
      </c>
      <c r="Y81" s="171"/>
      <c r="AA81" s="47"/>
      <c r="AB81" s="47"/>
      <c r="AC81" s="47"/>
      <c r="AD81" s="47"/>
      <c r="AE81" s="171"/>
      <c r="AG81" s="47"/>
      <c r="AH81" s="47"/>
      <c r="AI81" s="47"/>
      <c r="AJ81" s="47">
        <f>(AK62+Valuation!Z20+Valuation!Z19)/(AVERAGE(AD72:AJ72))</f>
        <v>0.14803516956755788</v>
      </c>
      <c r="AK81" s="171"/>
      <c r="AM81" s="47">
        <f>(AH62+AI62+AJ62+AM62+Valuation!AB19+Valuation!AB20)/AVERAGE(AG72:AM72)</f>
        <v>0.14395229982964225</v>
      </c>
      <c r="AN81" s="47">
        <f>(AI62+AJ62+AM62+AN62+Valuation!AC19+Valuation!AC20)/AVERAGE(AH72:AN72)</f>
        <v>0.14823451032644905</v>
      </c>
      <c r="AO81" s="47">
        <f>(AJ62+AM62+AN62+AO62+Valuation!AD19+Valuation!AD20)/AVERAGE(AI72:AO72)</f>
        <v>0.15078507933870566</v>
      </c>
      <c r="AP81" s="47">
        <f>(AQ62+Valuation!AE20+Valuation!AE19)/(AVERAGE(AJ72:AP72))</f>
        <v>0.16604400166044</v>
      </c>
      <c r="AQ81" s="171"/>
      <c r="AS81" s="47">
        <f>(AN62+AO62+AP62+AS62+Valuation!AG19+Valuation!AG20)/AVERAGE(AM72:AS72)</f>
        <v>0.18078297730861942</v>
      </c>
      <c r="AT81" s="47">
        <f>(AO62+AP62+AS62+AT62+Valuation!AH19+Valuation!AH20)/AVERAGE(AN72:AT72)</f>
        <v>0.18875838926174496</v>
      </c>
      <c r="AU81" s="47">
        <f>(AP62+AS62+AT62+AU62+Valuation!AI19+Valuation!AI20)/AVERAGE(AO72:AU72)</f>
        <v>0.18647439085032325</v>
      </c>
      <c r="AV81" s="47">
        <f>AW62/(AVERAGE(AP72:AV72))</f>
        <v>0.20141890238930116</v>
      </c>
      <c r="AW81" s="171"/>
      <c r="AY81" s="47">
        <f>(AT62+AU62+AV62+AY62)/AVERAGE(AS72:AY72)</f>
        <v>0.19734752223634053</v>
      </c>
      <c r="AZ81" s="47">
        <f>(AU62+AV62+AY62+AZ62)/AVERAGE(AT72:AZ72)</f>
        <v>0.19360527526452997</v>
      </c>
      <c r="BA81" s="47">
        <f>(AV62+AY62+AZ62+BA62+31)/AVERAGE(AU72:BA72)</f>
        <v>0.18716181157808912</v>
      </c>
      <c r="BB81" s="47">
        <f>(BC62+50)/(AVERAGE(AV72:BB72))</f>
        <v>0.1601656134234038</v>
      </c>
      <c r="BC81" s="171"/>
      <c r="BE81" s="49">
        <f>(AZ62+BA62+BB62+BE62+50+20)/AVERAGE(AY72:BE72)</f>
        <v>0.13548020995885943</v>
      </c>
      <c r="BF81" s="47">
        <f>(BA62+BB62+BE62+BF62+50+20+57)/AVERAGE(AZ72:BF72)</f>
        <v>0.11065399347425167</v>
      </c>
      <c r="BG81" s="47">
        <f>(BB62+BE62+BF62+BG62+19+20+57+38)/AVERAGE(BA72:BG72)</f>
        <v>0.10779616724738676</v>
      </c>
      <c r="BH81" s="47">
        <f>(BI62+152)/(AVERAGE(BB72:BH72))</f>
        <v>0.10892193308550185</v>
      </c>
      <c r="BI81" s="171"/>
      <c r="BK81" s="49">
        <f>(BF62+BG62+BH62+BK62+153)/AVERAGE(BE72:BK72)</f>
        <v>0.13518546104573217</v>
      </c>
      <c r="BL81" s="49">
        <f>(BG62+BH62+BK62+BL62+121)/AVERAGE(BF72:BL72)</f>
        <v>0.15853119008995722</v>
      </c>
      <c r="BM81" s="49">
        <f>(BH62+BK62+BL62+BM62+110)/AVERAGE(BG72:BM72)</f>
        <v>0.15927272727272726</v>
      </c>
      <c r="BN81" s="47">
        <f>(BO62+86)/(AVERAGE(BH72:BN72))</f>
        <v>0.15084985835694051</v>
      </c>
      <c r="BO81" s="171"/>
      <c r="BQ81" s="49">
        <f>(BL62+BM62+BN62+BQ62+69)/AVERAGE(BK72:BQ72)</f>
        <v>0.14698795180722893</v>
      </c>
      <c r="BR81" s="49">
        <f>(BM62+BN62+BQ62+BR62+54)/AVERAGE(BL72:BR72)</f>
        <v>0.14733840304182511</v>
      </c>
      <c r="BS81" s="49">
        <f>(BN62+BQ62+BR62+BS62+31)/AVERAGE(BM72:BS72)</f>
        <v>0.15264109258887326</v>
      </c>
      <c r="BT81" s="47">
        <f>(BU62+33)/(AVERAGE(BN72:BT72))</f>
        <v>0.17080339647289353</v>
      </c>
      <c r="BU81" s="171"/>
      <c r="BW81" s="49">
        <f>(BR62+BS62+BT62+BW62+29)/AVERAGE(BQ72:BW72)</f>
        <v>0.17041841536309299</v>
      </c>
      <c r="BX81" s="49">
        <f>(BS62+BT62+BW62+BX62+31)/AVERAGE(BR72:BX72)</f>
        <v>0.16660450080815617</v>
      </c>
      <c r="BY81" s="49">
        <f>(BT62+BW62+BX62+BY62+39)/AVERAGE(BS72:BY72)</f>
        <v>0.16124097417696731</v>
      </c>
      <c r="BZ81" s="49">
        <f>(BW62+BX62+BY62+BZ62+37)/AVERAGE(BT72:BZ72)</f>
        <v>0.17100073946265715</v>
      </c>
      <c r="CA81" s="171"/>
      <c r="CC81" s="49">
        <f>(BX62+BY62+BZ62+CC62+36)/AVERAGE(BW72:CC72)</f>
        <v>0.16737935247403787</v>
      </c>
      <c r="CD81" s="49">
        <f>(BY62+BZ62+CC62+CD62+27)/AVERAGE(BX72:CD72)</f>
        <v>0.17228805834092981</v>
      </c>
      <c r="CE81" s="49">
        <f>(BZ62+CC62+CD62+CE62+12)/AVERAGE(BY72:CE72)</f>
        <v>0.17389174626500123</v>
      </c>
      <c r="CF81" s="49">
        <f>(CC62+CD62+CE62+CF62)/AVERAGE(BZ72:CF72)</f>
        <v>0.17469954156857886</v>
      </c>
      <c r="CG81" s="171"/>
      <c r="CI81" s="49">
        <f>(CD62+CE62+CF62+CI62-96.9)/AVERAGE(CC72:CI72)</f>
        <v>0.17956495098039216</v>
      </c>
      <c r="CJ81" s="49">
        <f>(CE62+CF62+CI62+CJ62-96.9)/AVERAGE(CD72:CJ72)</f>
        <v>0.17826193841804439</v>
      </c>
      <c r="CK81" s="49">
        <f>(CF62+CI62+CJ62+CK62-96)/AVERAGE(CE72:CK72)</f>
        <v>0.17350254429526088</v>
      </c>
      <c r="CL81" s="49">
        <f>(CI62+CJ62+CK62+CL62-96)/AVERAGE(CF72:CL72)</f>
        <v>0.17621548986073785</v>
      </c>
      <c r="CM81" s="171"/>
      <c r="CO81" s="49">
        <f>(CJ62+CK62+CL62+CO62)/AVERAGE(CI72:CO72)</f>
        <v>0.15943390686476011</v>
      </c>
      <c r="CP81" s="49">
        <f>(CK62+CL62+CO62+CP62)/AVERAGE(CJ72:CP72)</f>
        <v>0.15071525885558584</v>
      </c>
      <c r="CQ81" s="49"/>
      <c r="CR81" s="49"/>
      <c r="CS81" s="171"/>
      <c r="IL81" s="44"/>
    </row>
    <row r="82" spans="1:246" s="140" customFormat="1" ht="9" customHeight="1">
      <c r="B82" s="141"/>
      <c r="C82" s="142"/>
      <c r="D82" s="142"/>
      <c r="E82" s="142"/>
      <c r="F82" s="142"/>
      <c r="G82" s="143"/>
      <c r="H82" s="144"/>
      <c r="I82" s="142"/>
      <c r="J82" s="142"/>
      <c r="K82" s="142"/>
      <c r="L82" s="142"/>
      <c r="M82" s="143"/>
      <c r="O82" s="142"/>
      <c r="P82" s="142"/>
      <c r="Q82" s="142"/>
      <c r="R82" s="142"/>
      <c r="S82" s="143"/>
      <c r="U82" s="142"/>
      <c r="V82" s="142"/>
      <c r="W82" s="142"/>
      <c r="X82" s="142"/>
      <c r="Y82" s="143"/>
      <c r="AA82" s="142"/>
      <c r="AB82" s="142"/>
      <c r="AC82" s="142"/>
      <c r="AD82" s="142"/>
      <c r="AE82" s="143"/>
      <c r="AG82" s="142"/>
      <c r="AH82" s="142"/>
      <c r="AI82" s="142"/>
      <c r="AJ82" s="142"/>
      <c r="AK82" s="143"/>
      <c r="AM82" s="142"/>
      <c r="AN82" s="142"/>
      <c r="AO82" s="142"/>
      <c r="AP82" s="142"/>
      <c r="AQ82" s="143"/>
      <c r="AS82" s="142"/>
      <c r="AT82" s="142"/>
      <c r="AU82" s="142"/>
      <c r="AV82" s="142"/>
      <c r="AW82" s="143"/>
      <c r="AY82" s="142"/>
      <c r="AZ82" s="142"/>
      <c r="BA82" s="142"/>
      <c r="BB82" s="142"/>
      <c r="BC82" s="143"/>
      <c r="BE82" s="143"/>
      <c r="BF82" s="142"/>
      <c r="BG82" s="142"/>
      <c r="BH82" s="142"/>
      <c r="BI82" s="143"/>
      <c r="BK82" s="145"/>
      <c r="BL82" s="146"/>
      <c r="BM82" s="142"/>
      <c r="BN82" s="142"/>
      <c r="BO82" s="143"/>
    </row>
    <row r="83" spans="1:246" ht="27" customHeight="1">
      <c r="A83" s="51" t="s">
        <v>61</v>
      </c>
      <c r="BK83" s="9"/>
      <c r="BL83" s="9"/>
      <c r="BX83" s="9"/>
      <c r="CD83" s="9"/>
      <c r="CE83" s="9"/>
      <c r="CI83" s="9"/>
      <c r="CJ83" s="9"/>
      <c r="CK83" s="9"/>
      <c r="CM83" s="52"/>
      <c r="CO83" s="9"/>
      <c r="CP83" s="9"/>
      <c r="CQ83" s="9"/>
      <c r="CS83" s="52"/>
    </row>
    <row r="84" spans="1:246" ht="6" customHeight="1"/>
    <row r="85" spans="1:246" ht="27.6" customHeight="1">
      <c r="A85" s="53" t="s">
        <v>207</v>
      </c>
      <c r="CO85" s="9"/>
      <c r="CP85" s="9"/>
    </row>
    <row r="86" spans="1:246">
      <c r="CO86" s="9"/>
    </row>
  </sheetData>
  <mergeCells count="32">
    <mergeCell ref="CI1:CM1"/>
    <mergeCell ref="CI2:CM2"/>
    <mergeCell ref="BW1:CA1"/>
    <mergeCell ref="BW2:CA2"/>
    <mergeCell ref="C2:G2"/>
    <mergeCell ref="I2:M2"/>
    <mergeCell ref="U1:Y1"/>
    <mergeCell ref="AA1:AE1"/>
    <mergeCell ref="I1:M1"/>
    <mergeCell ref="C1:G1"/>
    <mergeCell ref="AA2:AE2"/>
    <mergeCell ref="O1:S1"/>
    <mergeCell ref="AG1:AK1"/>
    <mergeCell ref="AG2:AK2"/>
    <mergeCell ref="BQ1:BU1"/>
    <mergeCell ref="BQ2:BU2"/>
    <mergeCell ref="CO1:CS1"/>
    <mergeCell ref="CO2:CS2"/>
    <mergeCell ref="AY1:BC1"/>
    <mergeCell ref="AY2:BC2"/>
    <mergeCell ref="O2:S2"/>
    <mergeCell ref="U2:Y2"/>
    <mergeCell ref="AS2:AW2"/>
    <mergeCell ref="AM2:AQ2"/>
    <mergeCell ref="AM1:AQ1"/>
    <mergeCell ref="AS1:AW1"/>
    <mergeCell ref="BE1:BI1"/>
    <mergeCell ref="BE2:BI2"/>
    <mergeCell ref="BK1:BO1"/>
    <mergeCell ref="BK2:BO2"/>
    <mergeCell ref="CC1:CG1"/>
    <mergeCell ref="CC2:CG2"/>
  </mergeCells>
  <phoneticPr fontId="0" type="noConversion"/>
  <pageMargins left="0.23622047244094491" right="0.23622047244094491" top="0.43307086614173229" bottom="0.27559055118110237" header="0.31496062992125984" footer="0.19685039370078741"/>
  <pageSetup paperSize="9" scale="62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BX43"/>
  <sheetViews>
    <sheetView showGridLines="0" zoomScaleNormal="100" workbookViewId="0">
      <pane xSplit="1" ySplit="3" topLeftCell="BD13" activePane="bottomRight" state="frozen"/>
      <selection activeCell="C28" sqref="C28"/>
      <selection pane="topRight" activeCell="C28" sqref="C28"/>
      <selection pane="bottomLeft" activeCell="C28" sqref="C28"/>
      <selection pane="bottomRight" activeCell="C28" sqref="C28"/>
    </sheetView>
  </sheetViews>
  <sheetFormatPr defaultColWidth="9.140625" defaultRowHeight="12.75" outlineLevelCol="1"/>
  <cols>
    <col min="1" max="1" width="29.42578125" style="2" customWidth="1"/>
    <col min="2" max="2" width="4.7109375" style="3" customWidth="1" outlineLevel="1"/>
    <col min="3" max="6" width="8.7109375" style="2" customWidth="1"/>
    <col min="7" max="7" width="4.7109375" style="4" customWidth="1"/>
    <col min="8" max="11" width="8.7109375" style="2" customWidth="1"/>
    <col min="12" max="12" width="4.7109375" style="2" customWidth="1"/>
    <col min="13" max="16" width="8.7109375" style="2" customWidth="1"/>
    <col min="17" max="17" width="4.7109375" style="2" customWidth="1"/>
    <col min="18" max="21" width="8.7109375" style="2" customWidth="1"/>
    <col min="22" max="22" width="4.7109375" style="2" customWidth="1"/>
    <col min="23" max="26" width="8.7109375" style="2" customWidth="1"/>
    <col min="27" max="27" width="4.7109375" style="2" customWidth="1"/>
    <col min="28" max="31" width="8.7109375" style="2" customWidth="1"/>
    <col min="32" max="32" width="4.7109375" style="2" customWidth="1"/>
    <col min="33" max="36" width="8.7109375" style="2" customWidth="1"/>
    <col min="37" max="37" width="4.7109375" style="2" customWidth="1"/>
    <col min="38" max="41" width="8.7109375" style="2" customWidth="1"/>
    <col min="42" max="42" width="4.7109375" style="2" customWidth="1"/>
    <col min="43" max="46" width="8.7109375" style="2" customWidth="1"/>
    <col min="47" max="47" width="4.7109375" style="2" customWidth="1"/>
    <col min="48" max="51" width="8.7109375" style="2" customWidth="1"/>
    <col min="52" max="52" width="4.7109375" style="2" customWidth="1"/>
    <col min="53" max="56" width="8.7109375" style="2" customWidth="1"/>
    <col min="57" max="57" width="4.7109375" style="2" customWidth="1"/>
    <col min="58" max="61" width="8.7109375" style="2" customWidth="1"/>
    <col min="62" max="62" width="4.7109375" style="2" customWidth="1"/>
    <col min="63" max="66" width="8.7109375" style="2" customWidth="1"/>
    <col min="67" max="67" width="4.7109375" style="2" customWidth="1"/>
    <col min="68" max="71" width="8.7109375" style="2" customWidth="1"/>
    <col min="72" max="72" width="4.7109375" style="2" customWidth="1"/>
    <col min="73" max="76" width="8.7109375" style="2" customWidth="1"/>
    <col min="77" max="77" width="4.7109375" style="2" customWidth="1"/>
    <col min="78" max="16384" width="9.140625" style="2"/>
  </cols>
  <sheetData>
    <row r="1" spans="1:76">
      <c r="C1" s="207" t="s">
        <v>126</v>
      </c>
      <c r="D1" s="207"/>
      <c r="E1" s="207"/>
      <c r="F1" s="207"/>
      <c r="H1" s="207" t="s">
        <v>126</v>
      </c>
      <c r="I1" s="207"/>
      <c r="J1" s="207"/>
      <c r="K1" s="207"/>
      <c r="M1" s="207" t="s">
        <v>126</v>
      </c>
      <c r="N1" s="207"/>
      <c r="O1" s="207"/>
      <c r="P1" s="207"/>
      <c r="R1" s="207" t="s">
        <v>126</v>
      </c>
      <c r="S1" s="207"/>
      <c r="T1" s="207"/>
      <c r="U1" s="207"/>
      <c r="W1" s="207" t="s">
        <v>104</v>
      </c>
      <c r="X1" s="207"/>
      <c r="Y1" s="207"/>
      <c r="Z1" s="207"/>
      <c r="AB1" s="207" t="s">
        <v>104</v>
      </c>
      <c r="AC1" s="207"/>
      <c r="AD1" s="207"/>
      <c r="AE1" s="207"/>
      <c r="AG1" s="207" t="s">
        <v>104</v>
      </c>
      <c r="AH1" s="207"/>
      <c r="AI1" s="207"/>
      <c r="AJ1" s="207"/>
      <c r="AL1" s="207" t="s">
        <v>104</v>
      </c>
      <c r="AM1" s="207"/>
      <c r="AN1" s="207"/>
      <c r="AO1" s="207"/>
      <c r="AQ1" s="207" t="s">
        <v>104</v>
      </c>
      <c r="AR1" s="207"/>
      <c r="AS1" s="207"/>
      <c r="AT1" s="207"/>
      <c r="AV1" s="207" t="s">
        <v>104</v>
      </c>
      <c r="AW1" s="207"/>
      <c r="AX1" s="207"/>
      <c r="AY1" s="207"/>
      <c r="BA1" s="207" t="s">
        <v>104</v>
      </c>
      <c r="BB1" s="207"/>
      <c r="BC1" s="207"/>
      <c r="BD1" s="207"/>
      <c r="BF1" s="207" t="s">
        <v>104</v>
      </c>
      <c r="BG1" s="207"/>
      <c r="BH1" s="207"/>
      <c r="BI1" s="207"/>
      <c r="BK1" s="207" t="s">
        <v>104</v>
      </c>
      <c r="BL1" s="207"/>
      <c r="BM1" s="207"/>
      <c r="BN1" s="207"/>
      <c r="BP1" s="207" t="s">
        <v>104</v>
      </c>
      <c r="BQ1" s="207"/>
      <c r="BR1" s="207"/>
      <c r="BS1" s="207"/>
      <c r="BU1" s="207" t="s">
        <v>104</v>
      </c>
      <c r="BV1" s="207"/>
      <c r="BW1" s="207"/>
      <c r="BX1" s="207"/>
    </row>
    <row r="2" spans="1:76">
      <c r="A2" s="1" t="s">
        <v>40</v>
      </c>
      <c r="B2" s="5"/>
      <c r="C2" s="208">
        <v>2001</v>
      </c>
      <c r="D2" s="208"/>
      <c r="E2" s="208"/>
      <c r="F2" s="208"/>
      <c r="H2" s="208">
        <v>2002</v>
      </c>
      <c r="I2" s="208"/>
      <c r="J2" s="208"/>
      <c r="K2" s="208"/>
      <c r="M2" s="208">
        <v>2003</v>
      </c>
      <c r="N2" s="208"/>
      <c r="O2" s="208"/>
      <c r="P2" s="208"/>
      <c r="R2" s="208">
        <v>2004</v>
      </c>
      <c r="S2" s="208"/>
      <c r="T2" s="208"/>
      <c r="U2" s="208"/>
      <c r="W2" s="208">
        <v>2005</v>
      </c>
      <c r="X2" s="208"/>
      <c r="Y2" s="208"/>
      <c r="Z2" s="208"/>
      <c r="AB2" s="208">
        <v>2006</v>
      </c>
      <c r="AC2" s="208"/>
      <c r="AD2" s="208"/>
      <c r="AE2" s="208"/>
      <c r="AG2" s="208">
        <v>2007</v>
      </c>
      <c r="AH2" s="208"/>
      <c r="AI2" s="208"/>
      <c r="AJ2" s="208"/>
      <c r="AL2" s="208">
        <v>2008</v>
      </c>
      <c r="AM2" s="208"/>
      <c r="AN2" s="208"/>
      <c r="AO2" s="208"/>
      <c r="AQ2" s="208">
        <v>2009</v>
      </c>
      <c r="AR2" s="208"/>
      <c r="AS2" s="208"/>
      <c r="AT2" s="208"/>
      <c r="AV2" s="208">
        <v>2010</v>
      </c>
      <c r="AW2" s="208"/>
      <c r="AX2" s="208"/>
      <c r="AY2" s="208"/>
      <c r="BA2" s="208">
        <v>2011</v>
      </c>
      <c r="BB2" s="208"/>
      <c r="BC2" s="208"/>
      <c r="BD2" s="208"/>
      <c r="BF2" s="208">
        <v>2012</v>
      </c>
      <c r="BG2" s="208"/>
      <c r="BH2" s="208"/>
      <c r="BI2" s="208"/>
      <c r="BK2" s="208">
        <v>2013</v>
      </c>
      <c r="BL2" s="208"/>
      <c r="BM2" s="208"/>
      <c r="BN2" s="208"/>
      <c r="BP2" s="208">
        <v>2014</v>
      </c>
      <c r="BQ2" s="208"/>
      <c r="BR2" s="208"/>
      <c r="BS2" s="208"/>
      <c r="BU2" s="208">
        <v>2015</v>
      </c>
      <c r="BV2" s="208"/>
      <c r="BW2" s="208"/>
      <c r="BX2" s="208"/>
    </row>
    <row r="3" spans="1:76" s="85" customFormat="1" ht="13.5" thickBot="1">
      <c r="A3" s="82" t="s">
        <v>189</v>
      </c>
      <c r="B3" s="83"/>
      <c r="C3" s="84" t="s">
        <v>10</v>
      </c>
      <c r="D3" s="84" t="s">
        <v>11</v>
      </c>
      <c r="E3" s="84" t="s">
        <v>12</v>
      </c>
      <c r="F3" s="84" t="s">
        <v>13</v>
      </c>
      <c r="G3" s="84"/>
      <c r="H3" s="84" t="s">
        <v>10</v>
      </c>
      <c r="I3" s="84" t="s">
        <v>11</v>
      </c>
      <c r="J3" s="84" t="s">
        <v>12</v>
      </c>
      <c r="K3" s="84" t="s">
        <v>13</v>
      </c>
      <c r="M3" s="84" t="s">
        <v>10</v>
      </c>
      <c r="N3" s="84" t="s">
        <v>11</v>
      </c>
      <c r="O3" s="84" t="s">
        <v>12</v>
      </c>
      <c r="P3" s="84" t="s">
        <v>13</v>
      </c>
      <c r="R3" s="84" t="s">
        <v>10</v>
      </c>
      <c r="S3" s="84" t="s">
        <v>11</v>
      </c>
      <c r="T3" s="84" t="s">
        <v>12</v>
      </c>
      <c r="U3" s="84" t="s">
        <v>13</v>
      </c>
      <c r="W3" s="84" t="s">
        <v>10</v>
      </c>
      <c r="X3" s="84" t="s">
        <v>11</v>
      </c>
      <c r="Y3" s="84" t="s">
        <v>12</v>
      </c>
      <c r="Z3" s="84" t="s">
        <v>13</v>
      </c>
      <c r="AA3" s="84"/>
      <c r="AB3" s="84" t="s">
        <v>10</v>
      </c>
      <c r="AC3" s="84" t="s">
        <v>11</v>
      </c>
      <c r="AD3" s="84" t="s">
        <v>12</v>
      </c>
      <c r="AE3" s="84" t="s">
        <v>13</v>
      </c>
      <c r="AG3" s="84" t="s">
        <v>10</v>
      </c>
      <c r="AH3" s="84" t="s">
        <v>11</v>
      </c>
      <c r="AI3" s="84" t="s">
        <v>12</v>
      </c>
      <c r="AJ3" s="84" t="s">
        <v>13</v>
      </c>
      <c r="AL3" s="84" t="s">
        <v>10</v>
      </c>
      <c r="AM3" s="84" t="s">
        <v>11</v>
      </c>
      <c r="AN3" s="84" t="s">
        <v>12</v>
      </c>
      <c r="AO3" s="84" t="s">
        <v>13</v>
      </c>
      <c r="AQ3" s="84" t="s">
        <v>10</v>
      </c>
      <c r="AR3" s="84" t="s">
        <v>11</v>
      </c>
      <c r="AS3" s="84" t="s">
        <v>12</v>
      </c>
      <c r="AT3" s="84" t="s">
        <v>13</v>
      </c>
      <c r="AV3" s="84" t="s">
        <v>10</v>
      </c>
      <c r="AW3" s="84" t="s">
        <v>11</v>
      </c>
      <c r="AX3" s="84" t="s">
        <v>12</v>
      </c>
      <c r="AY3" s="84" t="s">
        <v>13</v>
      </c>
      <c r="BA3" s="84" t="s">
        <v>10</v>
      </c>
      <c r="BB3" s="84" t="s">
        <v>11</v>
      </c>
      <c r="BC3" s="84" t="s">
        <v>12</v>
      </c>
      <c r="BD3" s="84" t="s">
        <v>13</v>
      </c>
      <c r="BF3" s="84" t="s">
        <v>10</v>
      </c>
      <c r="BG3" s="84" t="s">
        <v>11</v>
      </c>
      <c r="BH3" s="84" t="s">
        <v>12</v>
      </c>
      <c r="BI3" s="84" t="s">
        <v>13</v>
      </c>
      <c r="BK3" s="84" t="s">
        <v>10</v>
      </c>
      <c r="BL3" s="84" t="s">
        <v>11</v>
      </c>
      <c r="BM3" s="84" t="s">
        <v>12</v>
      </c>
      <c r="BN3" s="84" t="s">
        <v>13</v>
      </c>
      <c r="BP3" s="84" t="s">
        <v>10</v>
      </c>
      <c r="BQ3" s="84" t="s">
        <v>11</v>
      </c>
      <c r="BR3" s="84" t="s">
        <v>12</v>
      </c>
      <c r="BS3" s="84" t="s">
        <v>13</v>
      </c>
      <c r="BU3" s="84" t="s">
        <v>10</v>
      </c>
      <c r="BV3" s="84" t="s">
        <v>11</v>
      </c>
      <c r="BW3" s="84" t="s">
        <v>12</v>
      </c>
      <c r="BX3" s="84" t="s">
        <v>13</v>
      </c>
    </row>
    <row r="4" spans="1:76" ht="13.5" thickTop="1">
      <c r="D4" s="123"/>
      <c r="F4" s="123"/>
      <c r="I4" s="123"/>
      <c r="K4" s="123"/>
      <c r="N4" s="123"/>
      <c r="P4" s="123"/>
      <c r="S4" s="123"/>
      <c r="U4" s="123"/>
      <c r="X4" s="123"/>
      <c r="Z4" s="123"/>
      <c r="AC4" s="123"/>
      <c r="AE4" s="123"/>
      <c r="AH4" s="123"/>
      <c r="AJ4" s="123"/>
      <c r="AM4" s="123"/>
      <c r="AO4" s="123"/>
      <c r="AR4" s="123"/>
      <c r="AT4" s="123"/>
      <c r="AW4" s="123"/>
      <c r="AY4" s="123"/>
      <c r="BB4" s="123"/>
      <c r="BD4" s="123"/>
      <c r="BG4" s="123"/>
      <c r="BI4" s="123"/>
      <c r="BL4" s="123"/>
      <c r="BN4" s="123"/>
      <c r="BQ4" s="123"/>
      <c r="BS4" s="123"/>
      <c r="BV4" s="123"/>
    </row>
    <row r="5" spans="1:76">
      <c r="A5" s="2" t="str">
        <f>' Financial Highlights'!A41</f>
        <v>Number of DKK 20 shares ('000)</v>
      </c>
      <c r="C5" s="2">
        <f>' Financial Highlights'!C41</f>
        <v>26980</v>
      </c>
      <c r="D5" s="123">
        <f>' Financial Highlights'!D41</f>
        <v>25000</v>
      </c>
      <c r="E5" s="2">
        <f>' Financial Highlights'!E41</f>
        <v>25000</v>
      </c>
      <c r="F5" s="123">
        <f>' Financial Highlights'!F41</f>
        <v>25000</v>
      </c>
      <c r="H5" s="2">
        <f>' Financial Highlights'!I41</f>
        <v>25000</v>
      </c>
      <c r="I5" s="123">
        <f>' Financial Highlights'!J41</f>
        <v>25000</v>
      </c>
      <c r="J5" s="2">
        <f>' Financial Highlights'!K41</f>
        <v>25000</v>
      </c>
      <c r="K5" s="123">
        <f>' Financial Highlights'!L41</f>
        <v>25000</v>
      </c>
      <c r="M5" s="2">
        <f>' Financial Highlights'!O41</f>
        <v>25000</v>
      </c>
      <c r="N5" s="123">
        <f>' Financial Highlights'!P41</f>
        <v>25000</v>
      </c>
      <c r="O5" s="2">
        <f>' Financial Highlights'!Q41</f>
        <v>25000</v>
      </c>
      <c r="P5" s="123">
        <f>' Financial Highlights'!R41</f>
        <v>25000</v>
      </c>
      <c r="R5" s="2">
        <f>' Financial Highlights'!U41</f>
        <v>25000</v>
      </c>
      <c r="S5" s="123">
        <f>' Financial Highlights'!V41</f>
        <v>25000</v>
      </c>
      <c r="T5" s="2">
        <f>' Financial Highlights'!W41</f>
        <v>24500</v>
      </c>
      <c r="U5" s="123">
        <f>' Financial Highlights'!X41</f>
        <v>24500</v>
      </c>
      <c r="W5" s="9">
        <v>24500</v>
      </c>
      <c r="X5" s="74">
        <v>24500</v>
      </c>
      <c r="Y5" s="9">
        <v>24500</v>
      </c>
      <c r="Z5" s="74">
        <v>24500</v>
      </c>
      <c r="AA5" s="9"/>
      <c r="AB5" s="9">
        <v>24500</v>
      </c>
      <c r="AC5" s="74">
        <v>23500</v>
      </c>
      <c r="AD5" s="9">
        <v>23500</v>
      </c>
      <c r="AE5" s="74">
        <v>23500</v>
      </c>
      <c r="AF5" s="9"/>
      <c r="AG5" s="9">
        <v>23500</v>
      </c>
      <c r="AH5" s="74">
        <v>23638</v>
      </c>
      <c r="AI5" s="9">
        <v>23638</v>
      </c>
      <c r="AJ5" s="74">
        <v>23638</v>
      </c>
      <c r="AK5" s="9"/>
      <c r="AL5" s="9">
        <v>23655</v>
      </c>
      <c r="AM5" s="74">
        <v>23718</v>
      </c>
      <c r="AN5" s="9">
        <v>23718</v>
      </c>
      <c r="AO5" s="74">
        <v>23718</v>
      </c>
      <c r="AP5" s="9"/>
      <c r="AQ5" s="9">
        <v>23718</v>
      </c>
      <c r="AR5" s="74">
        <v>23718</v>
      </c>
      <c r="AS5" s="9">
        <v>23718</v>
      </c>
      <c r="AT5" s="74">
        <v>23718</v>
      </c>
      <c r="AV5" s="9">
        <v>23722</v>
      </c>
      <c r="AW5" s="74">
        <v>23738</v>
      </c>
      <c r="AX5" s="9">
        <v>23738</v>
      </c>
      <c r="AY5" s="74">
        <v>23738</v>
      </c>
      <c r="BA5" s="9">
        <v>23737.978999999999</v>
      </c>
      <c r="BB5" s="74">
        <v>23737.978999999999</v>
      </c>
      <c r="BC5" s="9">
        <v>23737.978999999999</v>
      </c>
      <c r="BD5" s="74">
        <v>23737.978999999999</v>
      </c>
      <c r="BF5" s="9">
        <v>23888</v>
      </c>
      <c r="BG5" s="74">
        <v>23888</v>
      </c>
      <c r="BH5" s="9">
        <v>23888</v>
      </c>
      <c r="BI5" s="74">
        <v>23888</v>
      </c>
      <c r="BK5" s="9">
        <v>23930</v>
      </c>
      <c r="BL5" s="74">
        <v>23930</v>
      </c>
      <c r="BM5" s="9">
        <v>23930</v>
      </c>
      <c r="BN5" s="74">
        <v>23930</v>
      </c>
      <c r="BP5" s="9">
        <v>23934</v>
      </c>
      <c r="BQ5" s="74">
        <v>23934</v>
      </c>
      <c r="BR5" s="9">
        <v>23934</v>
      </c>
      <c r="BS5" s="74">
        <v>23934</v>
      </c>
      <c r="BU5" s="9">
        <v>24186</v>
      </c>
      <c r="BV5" s="74">
        <v>24186</v>
      </c>
      <c r="BW5" s="9"/>
      <c r="BX5" s="9"/>
    </row>
    <row r="6" spans="1:76">
      <c r="A6" s="2" t="s">
        <v>45</v>
      </c>
      <c r="C6" s="2">
        <v>2543</v>
      </c>
      <c r="D6" s="123">
        <v>577</v>
      </c>
      <c r="E6" s="2">
        <v>577</v>
      </c>
      <c r="F6" s="123">
        <v>627</v>
      </c>
      <c r="H6" s="2">
        <v>499</v>
      </c>
      <c r="I6" s="123">
        <v>499</v>
      </c>
      <c r="J6" s="2">
        <v>499</v>
      </c>
      <c r="K6" s="123">
        <v>499</v>
      </c>
      <c r="M6" s="2">
        <v>499</v>
      </c>
      <c r="N6" s="123">
        <v>499</v>
      </c>
      <c r="O6" s="2">
        <v>499</v>
      </c>
      <c r="P6" s="123">
        <v>499</v>
      </c>
      <c r="R6" s="2">
        <v>500</v>
      </c>
      <c r="S6" s="123">
        <v>500</v>
      </c>
      <c r="T6" s="2">
        <v>0</v>
      </c>
      <c r="U6" s="123">
        <v>0</v>
      </c>
      <c r="W6" s="9">
        <v>0</v>
      </c>
      <c r="X6" s="74">
        <v>0</v>
      </c>
      <c r="Y6" s="9">
        <v>1105</v>
      </c>
      <c r="Z6" s="74">
        <v>1105</v>
      </c>
      <c r="AA6" s="9"/>
      <c r="AB6" s="9">
        <v>1105</v>
      </c>
      <c r="AC6" s="74">
        <v>78</v>
      </c>
      <c r="AD6" s="9">
        <v>78</v>
      </c>
      <c r="AE6" s="74">
        <v>78</v>
      </c>
      <c r="AF6" s="9"/>
      <c r="AG6" s="9">
        <v>78</v>
      </c>
      <c r="AH6" s="74">
        <v>78</v>
      </c>
      <c r="AI6" s="9">
        <v>78</v>
      </c>
      <c r="AJ6" s="74">
        <v>78</v>
      </c>
      <c r="AK6" s="9"/>
      <c r="AL6" s="11">
        <v>78</v>
      </c>
      <c r="AM6" s="74">
        <v>78</v>
      </c>
      <c r="AN6" s="11">
        <v>78</v>
      </c>
      <c r="AO6" s="74">
        <v>78</v>
      </c>
      <c r="AP6" s="9"/>
      <c r="AQ6" s="11">
        <v>78</v>
      </c>
      <c r="AR6" s="74">
        <v>78</v>
      </c>
      <c r="AS6" s="11">
        <v>78</v>
      </c>
      <c r="AT6" s="74">
        <v>78</v>
      </c>
      <c r="AV6" s="11">
        <v>78</v>
      </c>
      <c r="AW6" s="74">
        <v>77</v>
      </c>
      <c r="AX6" s="11">
        <v>77</v>
      </c>
      <c r="AY6" s="74">
        <v>77</v>
      </c>
      <c r="BA6" s="11">
        <v>77.424999999999997</v>
      </c>
      <c r="BB6" s="74">
        <v>77.424999999999997</v>
      </c>
      <c r="BC6" s="11">
        <v>77.424999999999997</v>
      </c>
      <c r="BD6" s="74">
        <v>77.424999999999997</v>
      </c>
      <c r="BF6" s="11">
        <v>77.424999999999997</v>
      </c>
      <c r="BG6" s="74">
        <v>77</v>
      </c>
      <c r="BH6" s="11">
        <v>77</v>
      </c>
      <c r="BI6" s="74">
        <v>77</v>
      </c>
      <c r="BK6" s="11">
        <v>77</v>
      </c>
      <c r="BL6" s="74">
        <v>77</v>
      </c>
      <c r="BM6" s="11">
        <v>77</v>
      </c>
      <c r="BN6" s="74">
        <v>77</v>
      </c>
      <c r="BP6" s="11">
        <v>77</v>
      </c>
      <c r="BQ6" s="74">
        <v>77</v>
      </c>
      <c r="BR6" s="11">
        <v>77</v>
      </c>
      <c r="BS6" s="74">
        <v>77</v>
      </c>
      <c r="BU6" s="11">
        <v>77</v>
      </c>
      <c r="BV6" s="74">
        <v>77</v>
      </c>
      <c r="BW6" s="11"/>
      <c r="BX6" s="11"/>
    </row>
    <row r="7" spans="1:76" s="154" customFormat="1">
      <c r="A7" s="154" t="s">
        <v>46</v>
      </c>
      <c r="B7" s="155"/>
      <c r="C7" s="154">
        <f>C5-C6</f>
        <v>24437</v>
      </c>
      <c r="D7" s="191">
        <f>D5-D6</f>
        <v>24423</v>
      </c>
      <c r="E7" s="154">
        <f>E5-E6</f>
        <v>24423</v>
      </c>
      <c r="F7" s="191">
        <f>F5-F6</f>
        <v>24373</v>
      </c>
      <c r="G7" s="155"/>
      <c r="H7" s="154">
        <f>H5-H6</f>
        <v>24501</v>
      </c>
      <c r="I7" s="191">
        <f>I5-I6</f>
        <v>24501</v>
      </c>
      <c r="J7" s="154">
        <f>J5-J6</f>
        <v>24501</v>
      </c>
      <c r="K7" s="191">
        <f>K5-K6</f>
        <v>24501</v>
      </c>
      <c r="M7" s="154">
        <f>M5-M6</f>
        <v>24501</v>
      </c>
      <c r="N7" s="191">
        <f>N5-N6</f>
        <v>24501</v>
      </c>
      <c r="O7" s="154">
        <f>O5-O6</f>
        <v>24501</v>
      </c>
      <c r="P7" s="191">
        <f>P5-P6</f>
        <v>24501</v>
      </c>
      <c r="R7" s="154">
        <f>R5-R6</f>
        <v>24500</v>
      </c>
      <c r="S7" s="191">
        <f>S5-S6</f>
        <v>24500</v>
      </c>
      <c r="T7" s="154">
        <f>T5-T6</f>
        <v>24500</v>
      </c>
      <c r="U7" s="191">
        <f>U5-U6</f>
        <v>24500</v>
      </c>
      <c r="W7" s="158">
        <f>W5-W6</f>
        <v>24500</v>
      </c>
      <c r="X7" s="159">
        <f>X5-X6</f>
        <v>24500</v>
      </c>
      <c r="Y7" s="158">
        <f>Y5-Y6</f>
        <v>23395</v>
      </c>
      <c r="Z7" s="159">
        <f>Z5-Z6</f>
        <v>23395</v>
      </c>
      <c r="AA7" s="158"/>
      <c r="AB7" s="158">
        <f>AB5-AB6</f>
        <v>23395</v>
      </c>
      <c r="AC7" s="159">
        <f>AC5-AC6</f>
        <v>23422</v>
      </c>
      <c r="AD7" s="158">
        <f>AD5-AD6</f>
        <v>23422</v>
      </c>
      <c r="AE7" s="159">
        <f>AE5-AE6</f>
        <v>23422</v>
      </c>
      <c r="AF7" s="158"/>
      <c r="AG7" s="158">
        <f>AG5-AG6</f>
        <v>23422</v>
      </c>
      <c r="AH7" s="159">
        <f>AH5-AH6</f>
        <v>23560</v>
      </c>
      <c r="AI7" s="158">
        <f>AI5-AI6</f>
        <v>23560</v>
      </c>
      <c r="AJ7" s="159">
        <f>AJ5-AJ6</f>
        <v>23560</v>
      </c>
      <c r="AK7" s="158"/>
      <c r="AL7" s="156">
        <f>AL5-AL6</f>
        <v>23577</v>
      </c>
      <c r="AM7" s="159">
        <f>AM5-AM6</f>
        <v>23640</v>
      </c>
      <c r="AN7" s="156">
        <f>AN5-AN6</f>
        <v>23640</v>
      </c>
      <c r="AO7" s="159">
        <f>AO5-AO6</f>
        <v>23640</v>
      </c>
      <c r="AP7" s="158"/>
      <c r="AQ7" s="156">
        <f>AQ5-AQ6</f>
        <v>23640</v>
      </c>
      <c r="AR7" s="159">
        <f>AR5-AR6</f>
        <v>23640</v>
      </c>
      <c r="AS7" s="156">
        <f>AS5-AS6</f>
        <v>23640</v>
      </c>
      <c r="AT7" s="159">
        <f>AT5-AT6</f>
        <v>23640</v>
      </c>
      <c r="AV7" s="156">
        <f>AV5-AV6</f>
        <v>23644</v>
      </c>
      <c r="AW7" s="159">
        <f>AW5-AW6</f>
        <v>23661</v>
      </c>
      <c r="AX7" s="156">
        <f>AX5-AX6</f>
        <v>23661</v>
      </c>
      <c r="AY7" s="159">
        <f>AY5-AY6</f>
        <v>23661</v>
      </c>
      <c r="BA7" s="156">
        <f>BA5-BA6</f>
        <v>23660.554</v>
      </c>
      <c r="BB7" s="159">
        <f>BB5-BB6</f>
        <v>23660.554</v>
      </c>
      <c r="BC7" s="156">
        <f>BC5-BC6</f>
        <v>23660.554</v>
      </c>
      <c r="BD7" s="159">
        <f>BD5-BD6</f>
        <v>23660.554</v>
      </c>
      <c r="BF7" s="156">
        <f>BF5-BF6</f>
        <v>23810.575000000001</v>
      </c>
      <c r="BG7" s="159">
        <f>BG5-BG6</f>
        <v>23811</v>
      </c>
      <c r="BH7" s="156">
        <f>BH5-BH6</f>
        <v>23811</v>
      </c>
      <c r="BI7" s="159">
        <f>BI5-BI6</f>
        <v>23811</v>
      </c>
      <c r="BK7" s="156">
        <f>BK5-BK6</f>
        <v>23853</v>
      </c>
      <c r="BL7" s="159">
        <f>BL5-BL6</f>
        <v>23853</v>
      </c>
      <c r="BM7" s="156">
        <f>BM5-BM6</f>
        <v>23853</v>
      </c>
      <c r="BN7" s="159">
        <f>BN5-BN6</f>
        <v>23853</v>
      </c>
      <c r="BP7" s="156">
        <f>BP5-BP6</f>
        <v>23857</v>
      </c>
      <c r="BQ7" s="159">
        <f>BQ5-BQ6</f>
        <v>23857</v>
      </c>
      <c r="BR7" s="156">
        <f>BR5-BR6</f>
        <v>23857</v>
      </c>
      <c r="BS7" s="159">
        <f>BS5-BS6</f>
        <v>23857</v>
      </c>
      <c r="BU7" s="156">
        <f>BU5-BU6</f>
        <v>24109</v>
      </c>
      <c r="BV7" s="156">
        <f>BV5-BV6</f>
        <v>24109</v>
      </c>
      <c r="BW7" s="156"/>
      <c r="BX7" s="156"/>
    </row>
    <row r="8" spans="1:76" s="160" customFormat="1">
      <c r="B8" s="161"/>
      <c r="D8" s="175"/>
      <c r="F8" s="175"/>
      <c r="G8" s="177"/>
      <c r="I8" s="175"/>
      <c r="K8" s="175"/>
      <c r="N8" s="175"/>
      <c r="P8" s="175"/>
      <c r="S8" s="175"/>
      <c r="U8" s="175"/>
      <c r="W8" s="162"/>
      <c r="X8" s="196"/>
      <c r="Y8" s="162"/>
      <c r="Z8" s="196"/>
      <c r="AA8" s="162"/>
      <c r="AB8" s="162"/>
      <c r="AC8" s="196"/>
      <c r="AD8" s="162"/>
      <c r="AE8" s="196"/>
      <c r="AF8" s="162"/>
      <c r="AG8" s="162"/>
      <c r="AH8" s="196"/>
      <c r="AI8" s="162"/>
      <c r="AJ8" s="196"/>
      <c r="AK8" s="162"/>
      <c r="AL8" s="163"/>
      <c r="AM8" s="196"/>
      <c r="AN8" s="163"/>
      <c r="AO8" s="196"/>
      <c r="AP8" s="162"/>
      <c r="AQ8" s="163"/>
      <c r="AR8" s="196"/>
      <c r="AS8" s="163"/>
      <c r="AT8" s="196"/>
      <c r="AV8" s="163"/>
      <c r="AW8" s="196"/>
      <c r="AX8" s="163"/>
      <c r="AY8" s="196"/>
      <c r="BA8" s="163"/>
      <c r="BB8" s="196"/>
      <c r="BC8" s="163"/>
      <c r="BD8" s="196"/>
      <c r="BF8" s="163"/>
      <c r="BG8" s="196"/>
      <c r="BH8" s="163"/>
      <c r="BI8" s="196"/>
      <c r="BK8" s="163"/>
      <c r="BL8" s="196"/>
      <c r="BM8" s="163"/>
      <c r="BN8" s="196"/>
      <c r="BP8" s="163"/>
      <c r="BQ8" s="196"/>
      <c r="BR8" s="163"/>
      <c r="BS8" s="196"/>
      <c r="BU8" s="163"/>
      <c r="BV8" s="196"/>
      <c r="BW8" s="163"/>
      <c r="BX8" s="163"/>
    </row>
    <row r="9" spans="1:76">
      <c r="A9" s="2" t="str">
        <f>' Financial Highlights'!A45</f>
        <v>Market price, DKK per share</v>
      </c>
      <c r="C9" s="2">
        <f>' Financial Highlights'!C45</f>
        <v>252</v>
      </c>
      <c r="D9" s="123">
        <f>' Financial Highlights'!D45</f>
        <v>119</v>
      </c>
      <c r="E9" s="2">
        <f>' Financial Highlights'!E45</f>
        <v>103</v>
      </c>
      <c r="F9" s="123">
        <f>' Financial Highlights'!F45</f>
        <v>105</v>
      </c>
      <c r="H9" s="2">
        <f>' Financial Highlights'!I45</f>
        <v>95</v>
      </c>
      <c r="I9" s="123">
        <f>' Financial Highlights'!J45</f>
        <v>85</v>
      </c>
      <c r="J9" s="2">
        <f>' Financial Highlights'!K45</f>
        <v>57</v>
      </c>
      <c r="K9" s="123">
        <f>' Financial Highlights'!L45</f>
        <v>74</v>
      </c>
      <c r="M9" s="2">
        <f>' Financial Highlights'!O45</f>
        <v>76</v>
      </c>
      <c r="N9" s="123">
        <f>' Financial Highlights'!P45</f>
        <v>90</v>
      </c>
      <c r="O9" s="2">
        <f>' Financial Highlights'!Q45</f>
        <v>106</v>
      </c>
      <c r="P9" s="123">
        <f>' Financial Highlights'!R45</f>
        <v>108</v>
      </c>
      <c r="R9" s="2">
        <f>' Financial Highlights'!U45</f>
        <v>118</v>
      </c>
      <c r="S9" s="123">
        <f>' Financial Highlights'!V45</f>
        <v>125</v>
      </c>
      <c r="T9" s="2">
        <f>' Financial Highlights'!W45</f>
        <v>137</v>
      </c>
      <c r="U9" s="123">
        <f>' Financial Highlights'!X45</f>
        <v>159</v>
      </c>
      <c r="W9" s="9">
        <f>' Financial Highlights'!AG45</f>
        <v>198</v>
      </c>
      <c r="X9" s="74">
        <f>' Financial Highlights'!AH45</f>
        <v>229</v>
      </c>
      <c r="Y9" s="9">
        <f>' Financial Highlights'!AI45</f>
        <v>262</v>
      </c>
      <c r="Z9" s="74">
        <f>' Financial Highlights'!AJ45</f>
        <v>289</v>
      </c>
      <c r="AA9" s="9"/>
      <c r="AB9" s="9">
        <f>' Financial Highlights'!AM45</f>
        <v>389</v>
      </c>
      <c r="AC9" s="74">
        <v>366</v>
      </c>
      <c r="AD9" s="9">
        <v>442</v>
      </c>
      <c r="AE9" s="74">
        <v>503</v>
      </c>
      <c r="AF9" s="9"/>
      <c r="AG9" s="9">
        <v>448</v>
      </c>
      <c r="AH9" s="74">
        <v>549</v>
      </c>
      <c r="AI9" s="9">
        <v>586</v>
      </c>
      <c r="AJ9" s="74">
        <v>459</v>
      </c>
      <c r="AK9" s="9"/>
      <c r="AL9" s="11">
        <v>340</v>
      </c>
      <c r="AM9" s="74">
        <v>383</v>
      </c>
      <c r="AN9" s="11">
        <v>245</v>
      </c>
      <c r="AO9" s="74">
        <v>106</v>
      </c>
      <c r="AP9" s="9"/>
      <c r="AQ9" s="11">
        <v>97</v>
      </c>
      <c r="AR9" s="74">
        <v>178.75</v>
      </c>
      <c r="AS9" s="11">
        <v>297</v>
      </c>
      <c r="AT9" s="74">
        <v>291</v>
      </c>
      <c r="AV9" s="11">
        <v>305</v>
      </c>
      <c r="AW9" s="74">
        <v>274</v>
      </c>
      <c r="AX9" s="11">
        <v>270</v>
      </c>
      <c r="AY9" s="74">
        <v>297</v>
      </c>
      <c r="BA9" s="11">
        <v>309</v>
      </c>
      <c r="BB9" s="74">
        <v>329</v>
      </c>
      <c r="BC9" s="11">
        <v>202</v>
      </c>
      <c r="BD9" s="74">
        <v>191</v>
      </c>
      <c r="BF9" s="11">
        <v>254</v>
      </c>
      <c r="BG9" s="74">
        <v>190</v>
      </c>
      <c r="BH9" s="11">
        <v>202</v>
      </c>
      <c r="BI9" s="74">
        <v>204</v>
      </c>
      <c r="BK9" s="11">
        <v>216</v>
      </c>
      <c r="BL9" s="74">
        <v>208</v>
      </c>
      <c r="BM9" s="11">
        <v>274</v>
      </c>
      <c r="BN9" s="74">
        <v>268</v>
      </c>
      <c r="BP9" s="11">
        <v>314</v>
      </c>
      <c r="BQ9" s="74">
        <v>374</v>
      </c>
      <c r="BR9" s="11">
        <v>325</v>
      </c>
      <c r="BS9" s="74">
        <v>332</v>
      </c>
      <c r="BU9" s="11">
        <v>445</v>
      </c>
      <c r="BV9" s="74">
        <v>384</v>
      </c>
      <c r="BW9" s="11"/>
      <c r="BX9" s="27"/>
    </row>
    <row r="10" spans="1:76">
      <c r="D10" s="123"/>
      <c r="F10" s="123"/>
      <c r="I10" s="123"/>
      <c r="K10" s="123"/>
      <c r="N10" s="123"/>
      <c r="P10" s="123"/>
      <c r="S10" s="123"/>
      <c r="U10" s="123"/>
      <c r="W10" s="9"/>
      <c r="X10" s="74"/>
      <c r="Y10" s="9"/>
      <c r="Z10" s="74"/>
      <c r="AA10" s="9"/>
      <c r="AB10" s="9"/>
      <c r="AC10" s="74"/>
      <c r="AD10" s="9"/>
      <c r="AE10" s="74"/>
      <c r="AF10" s="9"/>
      <c r="AG10" s="9"/>
      <c r="AH10" s="74"/>
      <c r="AI10" s="9"/>
      <c r="AJ10" s="74"/>
      <c r="AK10" s="9"/>
      <c r="AL10" s="11"/>
      <c r="AM10" s="74"/>
      <c r="AN10" s="11"/>
      <c r="AO10" s="74"/>
      <c r="AP10" s="9"/>
      <c r="AQ10" s="11"/>
      <c r="AR10" s="74"/>
      <c r="AS10" s="11"/>
      <c r="AT10" s="74"/>
      <c r="AV10" s="11"/>
      <c r="AW10" s="74"/>
      <c r="AX10" s="11"/>
      <c r="AY10" s="74"/>
      <c r="BA10" s="11"/>
      <c r="BB10" s="74"/>
      <c r="BC10" s="11"/>
      <c r="BD10" s="74"/>
      <c r="BF10" s="11"/>
      <c r="BG10" s="74"/>
      <c r="BH10" s="11"/>
      <c r="BI10" s="74"/>
      <c r="BK10" s="11"/>
      <c r="BL10" s="74"/>
      <c r="BM10" s="11"/>
      <c r="BN10" s="74"/>
      <c r="BP10" s="11"/>
      <c r="BQ10" s="74"/>
      <c r="BR10" s="11"/>
      <c r="BS10" s="74"/>
      <c r="BU10" s="11"/>
      <c r="BV10" s="74"/>
      <c r="BW10" s="11"/>
      <c r="BX10" s="11"/>
    </row>
    <row r="11" spans="1:76">
      <c r="A11" s="2" t="s">
        <v>198</v>
      </c>
      <c r="C11" s="34">
        <f>C7*C9/1000</f>
        <v>6158.1239999999998</v>
      </c>
      <c r="D11" s="192">
        <f>D7*D9/1000</f>
        <v>2906.337</v>
      </c>
      <c r="E11" s="34">
        <f>E7*E9/1000</f>
        <v>2515.569</v>
      </c>
      <c r="F11" s="192">
        <f>F7*F9/1000</f>
        <v>2559.165</v>
      </c>
      <c r="H11" s="34">
        <f>H7*H9/1000</f>
        <v>2327.5949999999998</v>
      </c>
      <c r="I11" s="192">
        <f>I7*I9/1000</f>
        <v>2082.585</v>
      </c>
      <c r="J11" s="34">
        <f>J7*J9/1000</f>
        <v>1396.557</v>
      </c>
      <c r="K11" s="192">
        <f>K7*K9/1000</f>
        <v>1813.0740000000001</v>
      </c>
      <c r="M11" s="34">
        <f>M7*M9/1000</f>
        <v>1862.076</v>
      </c>
      <c r="N11" s="192">
        <f>N7*N9/1000</f>
        <v>2205.09</v>
      </c>
      <c r="O11" s="34">
        <f>O7*O9/1000</f>
        <v>2597.1060000000002</v>
      </c>
      <c r="P11" s="192">
        <f>P7*P9/1000</f>
        <v>2646.1080000000002</v>
      </c>
      <c r="R11" s="34">
        <f>R7*R9/1000</f>
        <v>2891</v>
      </c>
      <c r="S11" s="192">
        <f>S7*S9/1000</f>
        <v>3062.5</v>
      </c>
      <c r="T11" s="34">
        <f>T7*T9/1000</f>
        <v>3356.5</v>
      </c>
      <c r="U11" s="192">
        <f>U7*U9/1000</f>
        <v>3895.5</v>
      </c>
      <c r="W11" s="9">
        <f>W7*W9/1000</f>
        <v>4851</v>
      </c>
      <c r="X11" s="74">
        <f>X7*X9/1000</f>
        <v>5610.5</v>
      </c>
      <c r="Y11" s="9">
        <f>Y7*Y9/1000</f>
        <v>6129.49</v>
      </c>
      <c r="Z11" s="74">
        <f>Z7*Z9/1000</f>
        <v>6761.1549999999997</v>
      </c>
      <c r="AA11" s="9"/>
      <c r="AB11" s="9">
        <f>AB7*AB9/1000</f>
        <v>9100.6550000000007</v>
      </c>
      <c r="AC11" s="74">
        <f>AC7*AC9/1000</f>
        <v>8572.4519999999993</v>
      </c>
      <c r="AD11" s="9">
        <f>AD7*AD9/1000</f>
        <v>10352.523999999999</v>
      </c>
      <c r="AE11" s="74">
        <f>AE7*AE9/1000</f>
        <v>11781.266</v>
      </c>
      <c r="AF11" s="9"/>
      <c r="AG11" s="9">
        <f>AG7*AG9/1000</f>
        <v>10493.056</v>
      </c>
      <c r="AH11" s="74">
        <f>AH7*AH9/1000</f>
        <v>12934.44</v>
      </c>
      <c r="AI11" s="9">
        <f>AI7*AI9/1000</f>
        <v>13806.16</v>
      </c>
      <c r="AJ11" s="74">
        <f>AJ7*AJ9/1000</f>
        <v>10814.04</v>
      </c>
      <c r="AK11" s="9"/>
      <c r="AL11" s="11">
        <f>AL7*AL9/1000</f>
        <v>8016.18</v>
      </c>
      <c r="AM11" s="74">
        <f>AM7*AM9/1000</f>
        <v>9054.1200000000008</v>
      </c>
      <c r="AN11" s="11">
        <f>AN7*AN9/1000</f>
        <v>5791.8</v>
      </c>
      <c r="AO11" s="74">
        <f>AO7*AO9/1000</f>
        <v>2505.84</v>
      </c>
      <c r="AP11" s="9"/>
      <c r="AQ11" s="11">
        <f>AQ7*AQ9/1000</f>
        <v>2293.08</v>
      </c>
      <c r="AR11" s="74">
        <f>AR7*AR9/1000</f>
        <v>4225.6499999999996</v>
      </c>
      <c r="AS11" s="11">
        <f>AS7*AS9/1000</f>
        <v>7021.08</v>
      </c>
      <c r="AT11" s="74">
        <f>AT7*AT9/1000</f>
        <v>6879.24</v>
      </c>
      <c r="AV11" s="11">
        <f>AV7*AV9/1000</f>
        <v>7211.42</v>
      </c>
      <c r="AW11" s="74">
        <f>AW7*AW9/1000</f>
        <v>6483.1139999999996</v>
      </c>
      <c r="AX11" s="11">
        <f>AX7*AX9/1000</f>
        <v>6388.47</v>
      </c>
      <c r="AY11" s="74">
        <f>AY7*AY9/1000</f>
        <v>7027.317</v>
      </c>
      <c r="BA11" s="11">
        <f>BA7*BA9/1000</f>
        <v>7311.1111860000001</v>
      </c>
      <c r="BB11" s="74">
        <f>BB7*BB9/1000</f>
        <v>7784.3222660000001</v>
      </c>
      <c r="BC11" s="11">
        <f>BC7*BC9/1000</f>
        <v>4779.4319079999996</v>
      </c>
      <c r="BD11" s="74">
        <f>BD7*BD9/1000</f>
        <v>4519.165814</v>
      </c>
      <c r="BF11" s="11">
        <f>BF7*BF9/1000</f>
        <v>6047.8860500000001</v>
      </c>
      <c r="BG11" s="74">
        <f>BG7*BG9/1000</f>
        <v>4524.09</v>
      </c>
      <c r="BH11" s="11">
        <f>BH7*BH9/1000</f>
        <v>4809.8220000000001</v>
      </c>
      <c r="BI11" s="74">
        <f>BI7*BI9/1000</f>
        <v>4857.4440000000004</v>
      </c>
      <c r="BK11" s="11">
        <f>BK7*BK9/1000</f>
        <v>5152.2479999999996</v>
      </c>
      <c r="BL11" s="74">
        <f>BL7*BL9/1000</f>
        <v>4961.424</v>
      </c>
      <c r="BM11" s="11">
        <f>BM7*BM9/1000</f>
        <v>6535.7219999999998</v>
      </c>
      <c r="BN11" s="74">
        <f>BN7*BN9/1000</f>
        <v>6392.6040000000003</v>
      </c>
      <c r="BP11" s="11">
        <f>BP7*BP9/1000</f>
        <v>7491.098</v>
      </c>
      <c r="BQ11" s="74">
        <f>BQ7*BQ9/1000</f>
        <v>8922.518</v>
      </c>
      <c r="BR11" s="11">
        <f>BR7*BR9/1000</f>
        <v>7753.5249999999996</v>
      </c>
      <c r="BS11" s="74">
        <f>BS7*BS9/1000</f>
        <v>7920.5240000000003</v>
      </c>
      <c r="BU11" s="11">
        <f>BU7*BU9/1000</f>
        <v>10728.504999999999</v>
      </c>
      <c r="BV11" s="74">
        <f>BV7*BV9/1000</f>
        <v>9257.8559999999998</v>
      </c>
      <c r="BW11" s="11"/>
      <c r="BX11" s="11"/>
    </row>
    <row r="12" spans="1:76">
      <c r="A12" s="2" t="s">
        <v>190</v>
      </c>
      <c r="C12" s="9">
        <f>'Balance Sheet'!C22</f>
        <v>243</v>
      </c>
      <c r="D12" s="74">
        <f>'Balance Sheet'!D22</f>
        <v>243</v>
      </c>
      <c r="E12" s="9">
        <f>'Balance Sheet'!E22</f>
        <v>226</v>
      </c>
      <c r="F12" s="74">
        <f>'Balance Sheet'!F22</f>
        <v>222</v>
      </c>
      <c r="H12" s="9">
        <f>'Balance Sheet'!H22</f>
        <v>197</v>
      </c>
      <c r="I12" s="74">
        <f>'Balance Sheet'!I22</f>
        <v>189</v>
      </c>
      <c r="J12" s="9">
        <f>'Balance Sheet'!J22</f>
        <v>176</v>
      </c>
      <c r="K12" s="74">
        <f>'Balance Sheet'!K22</f>
        <v>135</v>
      </c>
      <c r="M12" s="9">
        <f>'Balance Sheet'!M22</f>
        <v>129</v>
      </c>
      <c r="N12" s="74">
        <f>'Balance Sheet'!N22</f>
        <v>129</v>
      </c>
      <c r="O12" s="9">
        <f>'Balance Sheet'!O22</f>
        <v>136</v>
      </c>
      <c r="P12" s="74">
        <f>'Balance Sheet'!P22</f>
        <v>126</v>
      </c>
      <c r="R12" s="9">
        <f>'Balance Sheet'!R22</f>
        <v>148</v>
      </c>
      <c r="S12" s="74">
        <f>'Balance Sheet'!S22</f>
        <v>150</v>
      </c>
      <c r="T12" s="9">
        <f>'Balance Sheet'!T22</f>
        <v>147</v>
      </c>
      <c r="U12" s="74">
        <f>'Balance Sheet'!U22</f>
        <v>141</v>
      </c>
      <c r="W12" s="9">
        <v>58</v>
      </c>
      <c r="X12" s="74">
        <v>59</v>
      </c>
      <c r="Y12" s="9">
        <v>63</v>
      </c>
      <c r="Z12" s="74">
        <v>63</v>
      </c>
      <c r="AA12" s="9"/>
      <c r="AB12" s="9">
        <v>64</v>
      </c>
      <c r="AC12" s="74">
        <v>71</v>
      </c>
      <c r="AD12" s="9">
        <v>14</v>
      </c>
      <c r="AE12" s="74">
        <v>19</v>
      </c>
      <c r="AF12" s="9"/>
      <c r="AG12" s="9">
        <v>20</v>
      </c>
      <c r="AH12" s="74">
        <v>20</v>
      </c>
      <c r="AI12" s="9">
        <v>29</v>
      </c>
      <c r="AJ12" s="74">
        <v>37</v>
      </c>
      <c r="AK12" s="9"/>
      <c r="AL12" s="11">
        <v>39</v>
      </c>
      <c r="AM12" s="74">
        <v>42</v>
      </c>
      <c r="AN12" s="11">
        <v>46</v>
      </c>
      <c r="AO12" s="74">
        <v>38</v>
      </c>
      <c r="AP12" s="9"/>
      <c r="AQ12" s="11">
        <v>32</v>
      </c>
      <c r="AR12" s="74">
        <v>34.4</v>
      </c>
      <c r="AS12" s="11">
        <v>41</v>
      </c>
      <c r="AT12" s="74">
        <v>21</v>
      </c>
      <c r="AV12" s="11">
        <v>22</v>
      </c>
      <c r="AW12" s="74">
        <v>23</v>
      </c>
      <c r="AX12" s="11">
        <v>7</v>
      </c>
      <c r="AY12" s="74">
        <v>7</v>
      </c>
      <c r="BA12" s="11">
        <v>5</v>
      </c>
      <c r="BB12" s="74">
        <v>6</v>
      </c>
      <c r="BC12" s="11">
        <v>6</v>
      </c>
      <c r="BD12" s="74">
        <v>7</v>
      </c>
      <c r="BF12" s="11">
        <v>6</v>
      </c>
      <c r="BG12" s="74">
        <v>6</v>
      </c>
      <c r="BH12" s="11">
        <v>7</v>
      </c>
      <c r="BI12" s="74">
        <v>7</v>
      </c>
      <c r="BK12" s="11">
        <v>8</v>
      </c>
      <c r="BL12" s="74">
        <v>7</v>
      </c>
      <c r="BM12" s="11">
        <v>7</v>
      </c>
      <c r="BN12" s="74">
        <v>7</v>
      </c>
      <c r="BP12" s="11">
        <v>6</v>
      </c>
      <c r="BQ12" s="74">
        <v>6</v>
      </c>
      <c r="BR12" s="11">
        <v>6</v>
      </c>
      <c r="BS12" s="74">
        <v>6</v>
      </c>
      <c r="BU12" s="11">
        <v>7</v>
      </c>
      <c r="BV12" s="74">
        <v>7</v>
      </c>
      <c r="BW12" s="11"/>
      <c r="BX12" s="11"/>
    </row>
    <row r="13" spans="1:76">
      <c r="A13" s="2" t="s">
        <v>191</v>
      </c>
      <c r="C13" s="9">
        <f>-' Financial Highlights'!C30</f>
        <v>-2277</v>
      </c>
      <c r="D13" s="74">
        <f>-' Financial Highlights'!D30</f>
        <v>221</v>
      </c>
      <c r="E13" s="9">
        <f>-' Financial Highlights'!E30</f>
        <v>162</v>
      </c>
      <c r="F13" s="74">
        <f>-' Financial Highlights'!F30</f>
        <v>-71</v>
      </c>
      <c r="H13" s="9">
        <f>-' Financial Highlights'!I30</f>
        <v>-7</v>
      </c>
      <c r="I13" s="74">
        <f>-' Financial Highlights'!J30</f>
        <v>30</v>
      </c>
      <c r="J13" s="9">
        <f>-' Financial Highlights'!K30</f>
        <v>-109</v>
      </c>
      <c r="K13" s="74">
        <f>-' Financial Highlights'!L30</f>
        <v>-407</v>
      </c>
      <c r="M13" s="9">
        <f>-' Financial Highlights'!O30</f>
        <v>-321</v>
      </c>
      <c r="N13" s="74">
        <f>-' Financial Highlights'!P30</f>
        <v>-157</v>
      </c>
      <c r="O13" s="9">
        <f>-' Financial Highlights'!Q30</f>
        <v>-236</v>
      </c>
      <c r="P13" s="74">
        <f>-' Financial Highlights'!R30</f>
        <v>-409</v>
      </c>
      <c r="R13" s="9">
        <f>-' Financial Highlights'!U30</f>
        <v>-217</v>
      </c>
      <c r="S13" s="74">
        <f>-' Financial Highlights'!V30</f>
        <v>932</v>
      </c>
      <c r="T13" s="9">
        <f>-' Financial Highlights'!W30</f>
        <v>638</v>
      </c>
      <c r="U13" s="74">
        <f>-' Financial Highlights'!X30</f>
        <v>333</v>
      </c>
      <c r="W13" s="9">
        <f>-' Financial Highlights'!AG30</f>
        <v>337</v>
      </c>
      <c r="X13" s="74">
        <v>559</v>
      </c>
      <c r="Y13" s="9">
        <v>858</v>
      </c>
      <c r="Z13" s="74">
        <v>787</v>
      </c>
      <c r="AA13" s="9"/>
      <c r="AB13" s="9">
        <f>-' Financial Highlights'!AM30</f>
        <v>1176</v>
      </c>
      <c r="AC13" s="74">
        <v>1221</v>
      </c>
      <c r="AD13" s="9">
        <v>1168</v>
      </c>
      <c r="AE13" s="74">
        <v>1023</v>
      </c>
      <c r="AF13" s="9"/>
      <c r="AG13" s="9">
        <v>1987</v>
      </c>
      <c r="AH13" s="74">
        <v>2300</v>
      </c>
      <c r="AI13" s="9">
        <v>2306</v>
      </c>
      <c r="AJ13" s="74">
        <v>1995</v>
      </c>
      <c r="AK13" s="9"/>
      <c r="AL13" s="11">
        <v>2215</v>
      </c>
      <c r="AM13" s="74">
        <v>2825</v>
      </c>
      <c r="AN13" s="11">
        <v>2821</v>
      </c>
      <c r="AO13" s="74">
        <v>2260</v>
      </c>
      <c r="AP13" s="9"/>
      <c r="AQ13" s="11">
        <v>2283.3000000000002</v>
      </c>
      <c r="AR13" s="74">
        <v>2587.3000000000002</v>
      </c>
      <c r="AS13" s="11">
        <v>2681</v>
      </c>
      <c r="AT13" s="74">
        <v>2725</v>
      </c>
      <c r="AV13" s="11">
        <v>3394</v>
      </c>
      <c r="AW13" s="74">
        <v>3790</v>
      </c>
      <c r="AX13" s="11">
        <v>4144</v>
      </c>
      <c r="AY13" s="74">
        <v>4105</v>
      </c>
      <c r="BA13" s="11">
        <v>4821</v>
      </c>
      <c r="BB13" s="74">
        <v>4940</v>
      </c>
      <c r="BC13" s="11">
        <v>4771</v>
      </c>
      <c r="BD13" s="74">
        <v>4429</v>
      </c>
      <c r="BF13" s="11">
        <v>4491</v>
      </c>
      <c r="BG13" s="74">
        <f>-' Financial Highlights'!BX30</f>
        <v>2692</v>
      </c>
      <c r="BH13" s="11">
        <f>-' Financial Highlights'!BY30</f>
        <v>2751</v>
      </c>
      <c r="BI13" s="74">
        <f>-' Financial Highlights'!BZ30</f>
        <v>1909</v>
      </c>
      <c r="BK13" s="11">
        <v>2776</v>
      </c>
      <c r="BL13" s="74">
        <v>2839</v>
      </c>
      <c r="BM13" s="11">
        <v>2753</v>
      </c>
      <c r="BN13" s="74">
        <v>2111</v>
      </c>
      <c r="BP13" s="11">
        <v>1999</v>
      </c>
      <c r="BQ13" s="74">
        <v>2008</v>
      </c>
      <c r="BR13" s="11">
        <v>2119</v>
      </c>
      <c r="BS13" s="74">
        <v>1135</v>
      </c>
      <c r="BU13" s="11">
        <v>1322</v>
      </c>
      <c r="BV13" s="74">
        <v>1438</v>
      </c>
      <c r="BW13" s="11"/>
      <c r="BX13" s="11"/>
    </row>
    <row r="14" spans="1:76" s="154" customFormat="1">
      <c r="A14" s="154" t="s">
        <v>208</v>
      </c>
      <c r="B14" s="155"/>
      <c r="C14" s="174">
        <f>SUM(C11:C13)</f>
        <v>4124.1239999999998</v>
      </c>
      <c r="D14" s="193">
        <f>SUM(D11:D13)</f>
        <v>3370.337</v>
      </c>
      <c r="E14" s="174">
        <f>SUM(E11:E13)</f>
        <v>2903.569</v>
      </c>
      <c r="F14" s="193">
        <f>SUM(F11:F13)</f>
        <v>2710.165</v>
      </c>
      <c r="G14" s="155"/>
      <c r="H14" s="174">
        <f>SUM(H11:H13)</f>
        <v>2517.5949999999998</v>
      </c>
      <c r="I14" s="193">
        <f>SUM(I11:I13)</f>
        <v>2301.585</v>
      </c>
      <c r="J14" s="174">
        <f>SUM(J11:J13)</f>
        <v>1463.557</v>
      </c>
      <c r="K14" s="193">
        <f>SUM(K11:K13)</f>
        <v>1541.0740000000001</v>
      </c>
      <c r="M14" s="174">
        <f>SUM(M11:M13)</f>
        <v>1670.076</v>
      </c>
      <c r="N14" s="193">
        <f>SUM(N11:N13)</f>
        <v>2177.09</v>
      </c>
      <c r="O14" s="174">
        <f>SUM(O11:O13)</f>
        <v>2497.1060000000002</v>
      </c>
      <c r="P14" s="193">
        <f>SUM(P11:P13)</f>
        <v>2363.1080000000002</v>
      </c>
      <c r="R14" s="174">
        <f>SUM(R11:R13)</f>
        <v>2822</v>
      </c>
      <c r="S14" s="193">
        <f>SUM(S11:S13)</f>
        <v>4144.5</v>
      </c>
      <c r="T14" s="174">
        <f>SUM(T11:T13)</f>
        <v>4141.5</v>
      </c>
      <c r="U14" s="193">
        <f>SUM(U11:U13)</f>
        <v>4369.5</v>
      </c>
      <c r="W14" s="158">
        <f>SUM(W11:W13)</f>
        <v>5246</v>
      </c>
      <c r="X14" s="159">
        <f>SUM(X11:X13)</f>
        <v>6228.5</v>
      </c>
      <c r="Y14" s="158">
        <f>SUM(Y11:Y13)</f>
        <v>7050.49</v>
      </c>
      <c r="Z14" s="159">
        <f>SUM(Z11:Z13)</f>
        <v>7611.1549999999997</v>
      </c>
      <c r="AA14" s="158"/>
      <c r="AB14" s="158">
        <f>SUM(AB11:AB13)</f>
        <v>10340.655000000001</v>
      </c>
      <c r="AC14" s="159">
        <f>SUM(AC11:AC13)</f>
        <v>9864.4519999999993</v>
      </c>
      <c r="AD14" s="158">
        <f>SUM(AD11:AD13)</f>
        <v>11534.523999999999</v>
      </c>
      <c r="AE14" s="159">
        <f>SUM(AE11:AE13)</f>
        <v>12823.266</v>
      </c>
      <c r="AF14" s="158"/>
      <c r="AG14" s="158">
        <f>SUM(AG11:AG13)</f>
        <v>12500.056</v>
      </c>
      <c r="AH14" s="159">
        <f>SUM(AH11:AH13)</f>
        <v>15254.44</v>
      </c>
      <c r="AI14" s="158">
        <f>SUM(AI11:AI13)</f>
        <v>16141.16</v>
      </c>
      <c r="AJ14" s="159">
        <f>SUM(AJ11:AJ13)</f>
        <v>12846.04</v>
      </c>
      <c r="AK14" s="158"/>
      <c r="AL14" s="156">
        <f>SUM(AL11:AL13)</f>
        <v>10270.18</v>
      </c>
      <c r="AM14" s="159">
        <f>SUM(AM11:AM13)</f>
        <v>11921.12</v>
      </c>
      <c r="AN14" s="156">
        <f>SUM(AN11:AN13)</f>
        <v>8658.7999999999993</v>
      </c>
      <c r="AO14" s="159">
        <f>SUM(AO11:AO13)</f>
        <v>4803.84</v>
      </c>
      <c r="AP14" s="158"/>
      <c r="AQ14" s="156">
        <f>SUM(AQ11:AQ13)</f>
        <v>4608.38</v>
      </c>
      <c r="AR14" s="159">
        <f>SUM(AR11:AR13)</f>
        <v>6847.3499999999995</v>
      </c>
      <c r="AS14" s="156">
        <f>SUM(AS11:AS13)</f>
        <v>9743.08</v>
      </c>
      <c r="AT14" s="159">
        <f>SUM(AT11:AT13)</f>
        <v>9625.24</v>
      </c>
      <c r="AV14" s="156">
        <f>SUM(AV11:AV13)</f>
        <v>10627.42</v>
      </c>
      <c r="AW14" s="159">
        <f>SUM(AW11:AW13)</f>
        <v>10296.114</v>
      </c>
      <c r="AX14" s="156">
        <f>SUM(AX11:AX13)</f>
        <v>10539.470000000001</v>
      </c>
      <c r="AY14" s="159">
        <f>SUM(AY11:AY13)</f>
        <v>11139.316999999999</v>
      </c>
      <c r="BA14" s="156">
        <f>SUM(BA11:BA13)</f>
        <v>12137.111186</v>
      </c>
      <c r="BB14" s="159">
        <f>SUM(BB11:BB13)</f>
        <v>12730.322265999999</v>
      </c>
      <c r="BC14" s="156">
        <f>SUM(BC11:BC13)</f>
        <v>9556.4319079999987</v>
      </c>
      <c r="BD14" s="159">
        <f>SUM(BD11:BD13)</f>
        <v>8955.165814</v>
      </c>
      <c r="BF14" s="156">
        <f>SUM(BF11:BF13)</f>
        <v>10544.886050000001</v>
      </c>
      <c r="BG14" s="159">
        <f>SUM(BG11:BG13)</f>
        <v>7222.09</v>
      </c>
      <c r="BH14" s="156">
        <f>SUM(BH11:BH13)</f>
        <v>7567.8220000000001</v>
      </c>
      <c r="BI14" s="159">
        <f>SUM(BI11:BI13)</f>
        <v>6773.4440000000004</v>
      </c>
      <c r="BK14" s="156">
        <f>SUM(BK11:BK13)</f>
        <v>7936.2479999999996</v>
      </c>
      <c r="BL14" s="159">
        <f>SUM(BL11:BL13)</f>
        <v>7807.424</v>
      </c>
      <c r="BM14" s="156">
        <f>SUM(BM11:BM13)</f>
        <v>9295.7219999999998</v>
      </c>
      <c r="BN14" s="159">
        <f>SUM(BN11:BN13)</f>
        <v>8510.6039999999994</v>
      </c>
      <c r="BP14" s="156">
        <f>SUM(BP11:BP13)</f>
        <v>9496.098</v>
      </c>
      <c r="BQ14" s="159">
        <f>SUM(BQ11:BQ13)</f>
        <v>10936.518</v>
      </c>
      <c r="BR14" s="156">
        <f>SUM(BR11:BR13)</f>
        <v>9878.5249999999996</v>
      </c>
      <c r="BS14" s="159">
        <f>SUM(BS11:BS13)</f>
        <v>9061.5240000000013</v>
      </c>
      <c r="BU14" s="156">
        <f>SUM(BU11:BU13)</f>
        <v>12057.504999999999</v>
      </c>
      <c r="BV14" s="159">
        <f>SUM(BV11:BV13)</f>
        <v>10702.856</v>
      </c>
      <c r="BW14" s="156"/>
      <c r="BX14" s="156"/>
    </row>
    <row r="15" spans="1:76" s="160" customFormat="1">
      <c r="B15" s="161"/>
      <c r="D15" s="175"/>
      <c r="F15" s="175"/>
      <c r="G15" s="177"/>
      <c r="I15" s="175"/>
      <c r="K15" s="175"/>
      <c r="N15" s="175"/>
      <c r="P15" s="175"/>
      <c r="S15" s="175"/>
      <c r="U15" s="175"/>
      <c r="W15" s="162"/>
      <c r="X15" s="196"/>
      <c r="Y15" s="162"/>
      <c r="Z15" s="196"/>
      <c r="AA15" s="162"/>
      <c r="AB15" s="162"/>
      <c r="AC15" s="196"/>
      <c r="AD15" s="162"/>
      <c r="AE15" s="196"/>
      <c r="AF15" s="162"/>
      <c r="AG15" s="162"/>
      <c r="AH15" s="196"/>
      <c r="AI15" s="162"/>
      <c r="AJ15" s="196"/>
      <c r="AK15" s="162"/>
      <c r="AL15" s="163"/>
      <c r="AM15" s="196"/>
      <c r="AN15" s="163"/>
      <c r="AO15" s="196"/>
      <c r="AP15" s="162"/>
      <c r="AQ15" s="163"/>
      <c r="AR15" s="196"/>
      <c r="AS15" s="163"/>
      <c r="AT15" s="196"/>
      <c r="AV15" s="163"/>
      <c r="AW15" s="196"/>
      <c r="AX15" s="163"/>
      <c r="AY15" s="196"/>
      <c r="BA15" s="163"/>
      <c r="BB15" s="196"/>
      <c r="BC15" s="163"/>
      <c r="BD15" s="196"/>
      <c r="BF15" s="163"/>
      <c r="BG15" s="196"/>
      <c r="BH15" s="163"/>
      <c r="BI15" s="196"/>
      <c r="BK15" s="163"/>
      <c r="BL15" s="196"/>
      <c r="BM15" s="163"/>
      <c r="BN15" s="196"/>
      <c r="BP15" s="163"/>
      <c r="BQ15" s="196"/>
      <c r="BR15" s="163"/>
      <c r="BS15" s="196"/>
      <c r="BU15" s="163"/>
      <c r="BV15" s="196"/>
      <c r="BW15" s="163"/>
      <c r="BX15" s="163"/>
    </row>
    <row r="16" spans="1:76">
      <c r="A16" s="2" t="s">
        <v>47</v>
      </c>
      <c r="D16" s="123"/>
      <c r="F16" s="74">
        <f>'Segment Data'!G38</f>
        <v>315</v>
      </c>
      <c r="H16" s="9">
        <f>'Segment Data'!D38+'Segment Data'!E38+'Segment Data'!F38+'Segment Data'!I38</f>
        <v>344</v>
      </c>
      <c r="I16" s="74">
        <f>'Segment Data'!E38+'Segment Data'!F38+'Segment Data'!I38+'Segment Data'!J38</f>
        <v>261</v>
      </c>
      <c r="J16" s="9">
        <f>'Segment Data'!F38+'Segment Data'!I38+'Segment Data'!J38+'Segment Data'!K38</f>
        <v>303</v>
      </c>
      <c r="K16" s="74">
        <f>'Segment Data'!M38</f>
        <v>168</v>
      </c>
      <c r="M16" s="9">
        <f>'Segment Data'!J38+'Segment Data'!K38+'Segment Data'!L38+'Segment Data'!O38</f>
        <v>168</v>
      </c>
      <c r="N16" s="74">
        <f>'Segment Data'!K38+'Segment Data'!L38+'Segment Data'!O38+'Segment Data'!P38</f>
        <v>183</v>
      </c>
      <c r="O16" s="9">
        <f>'Segment Data'!L38+'Segment Data'!O38+'Segment Data'!P38+'Segment Data'!Q38</f>
        <v>196</v>
      </c>
      <c r="P16" s="74">
        <f>'Segment Data'!S38</f>
        <v>386</v>
      </c>
      <c r="R16" s="9">
        <f>'Segment Data'!P38+'Segment Data'!Q38+'Segment Data'!R38+'Segment Data'!U38</f>
        <v>391</v>
      </c>
      <c r="S16" s="74">
        <f>'Segment Data'!Q38+'Segment Data'!R38+'Segment Data'!U38+'Segment Data'!V38</f>
        <v>439</v>
      </c>
      <c r="T16" s="9">
        <f>'Segment Data'!R38+'Segment Data'!U38+'Segment Data'!V38+'Segment Data'!W38</f>
        <v>602</v>
      </c>
      <c r="U16" s="74">
        <f>'Segment Data'!Y38</f>
        <v>616</v>
      </c>
      <c r="W16" s="9">
        <f>'Segment Data'!V38+'Segment Data'!W38+'Segment Data'!X38+'Segment Data'!AG38</f>
        <v>670</v>
      </c>
      <c r="X16" s="74">
        <f>'Segment Data'!AH38+'Segment Data'!AG38+'Segment Data'!X38+'Segment Data'!W38</f>
        <v>695</v>
      </c>
      <c r="Y16" s="9">
        <f>'Segment Data'!AI38+'Segment Data'!AH38+'Segment Data'!AG38+'Segment Data'!AD38</f>
        <v>628</v>
      </c>
      <c r="Z16" s="74">
        <f>'Segment Data'!AK38</f>
        <v>713</v>
      </c>
      <c r="AA16" s="9"/>
      <c r="AB16" s="9">
        <f>'Segment Data'!AH38+'Segment Data'!AI38+'Segment Data'!AJ38+'Segment Data'!AM38</f>
        <v>764</v>
      </c>
      <c r="AC16" s="74">
        <f>'Segment Data'!AN38+'Segment Data'!AM38+'Segment Data'!AJ38+'Segment Data'!AI38</f>
        <v>963</v>
      </c>
      <c r="AD16" s="9">
        <f>'Segment Data'!AO38+'Segment Data'!AN38+'Segment Data'!AM38+'Segment Data'!AJ38</f>
        <v>1028</v>
      </c>
      <c r="AE16" s="74">
        <f>'Segment Data'!AQ38</f>
        <v>1022</v>
      </c>
      <c r="AF16" s="9"/>
      <c r="AG16" s="9">
        <f>'Segment Data'!AN38+'Segment Data'!AO38+'Segment Data'!AP38+'Segment Data'!AS38</f>
        <v>1102</v>
      </c>
      <c r="AH16" s="74">
        <f>'Segment Data'!AT38+'Segment Data'!AS38+'Segment Data'!AP38+'Segment Data'!AO38</f>
        <v>1126</v>
      </c>
      <c r="AI16" s="9">
        <f>'Segment Data'!AU38+'Segment Data'!AT38+'Segment Data'!AS38+'Segment Data'!AP38</f>
        <v>1204</v>
      </c>
      <c r="AJ16" s="74">
        <f>'Segment Data'!AW38</f>
        <v>1433</v>
      </c>
      <c r="AK16" s="9"/>
      <c r="AL16" s="9">
        <f>'Segment Data'!AT38+'Segment Data'!AU38+'Segment Data'!AV38+'Segment Data'!AY38</f>
        <v>1482</v>
      </c>
      <c r="AM16" s="74">
        <f>'Segment Data'!AZ38+'Segment Data'!AY38+'Segment Data'!AV38+'Segment Data'!AU38</f>
        <v>1546</v>
      </c>
      <c r="AN16" s="9">
        <f>'Segment Data'!BA38+'Segment Data'!AZ38+'Segment Data'!AY38+'Segment Data'!AV38</f>
        <v>1542</v>
      </c>
      <c r="AO16" s="74">
        <f>'Segment Data'!BC38</f>
        <v>1218</v>
      </c>
      <c r="AP16" s="9"/>
      <c r="AQ16" s="9">
        <f>'Segment Data'!AZ38+'Segment Data'!BA38+'Segment Data'!BB38+'Segment Data'!BE38</f>
        <v>1040</v>
      </c>
      <c r="AR16" s="74">
        <f>'Segment Data'!BF38+'Segment Data'!BE38+'Segment Data'!BB38+'Segment Data'!BA38</f>
        <v>816</v>
      </c>
      <c r="AS16" s="9">
        <f>'Segment Data'!BG38+'Segment Data'!BF38+'Segment Data'!BE38+'Segment Data'!BB38</f>
        <v>712</v>
      </c>
      <c r="AT16" s="74">
        <f>'Segment Data'!BI38</f>
        <v>783</v>
      </c>
      <c r="AV16" s="9">
        <f>'Segment Data'!BF38+'Segment Data'!BG38+'Segment Data'!BH38+'Segment Data'!BK38</f>
        <v>869</v>
      </c>
      <c r="AW16" s="74">
        <f>+'Segment Data'!BL38+'Segment Data'!BK38+'Segment Data'!BH38+'Segment Data'!BG38</f>
        <v>890</v>
      </c>
      <c r="AX16" s="9">
        <f>+'Segment Data'!BH38+'Segment Data'!BK38+'Segment Data'!BL38+'Segment Data'!BM38</f>
        <v>915</v>
      </c>
      <c r="AY16" s="74">
        <f>'Segment Data'!BO38</f>
        <v>899</v>
      </c>
      <c r="BA16" s="9">
        <f>+'Segment Data'!BQ38+'Segment Data'!BN38+'Segment Data'!BM38+'Segment Data'!BL38</f>
        <v>902</v>
      </c>
      <c r="BB16" s="74">
        <f>+'Segment Data'!BR38+'Segment Data'!BQ38+'Segment Data'!BN38+'Segment Data'!BM38</f>
        <v>854</v>
      </c>
      <c r="BC16" s="9">
        <f>+'Segment Data'!BN38+'Segment Data'!BQ38+'Segment Data'!BR38+'Segment Data'!BS38</f>
        <v>916</v>
      </c>
      <c r="BD16" s="74">
        <f>'Segment Data'!BU38</f>
        <v>1003</v>
      </c>
      <c r="BF16" s="11">
        <f>+'Segment Data'!BW38+'Segment Data'!BT38+'Segment Data'!BS38+'Segment Data'!BR38</f>
        <v>1015</v>
      </c>
      <c r="BG16" s="74">
        <f>+'Segment Data'!BX38+'Segment Data'!BW38+'Segment Data'!BT38+'Segment Data'!BS38</f>
        <v>1034</v>
      </c>
      <c r="BH16" s="9">
        <f>+'Segment Data'!BY38+'Segment Data'!BX38+'Segment Data'!BW38+'Segment Data'!BT38</f>
        <v>961</v>
      </c>
      <c r="BI16" s="74">
        <f>'Segment Data'!CA38</f>
        <v>1009</v>
      </c>
      <c r="BK16" s="11">
        <f>+'Segment Data'!CC38+'Segment Data'!BZ38+'Segment Data'!BY38+'Segment Data'!BX38</f>
        <v>998</v>
      </c>
      <c r="BL16" s="74">
        <f>+'Segment Data'!CD38+'Segment Data'!CC38+'Segment Data'!BZ38+'Segment Data'!BY38</f>
        <v>1048</v>
      </c>
      <c r="BM16" s="9">
        <f>+'Segment Data'!CE38+'Segment Data'!CD38+'Segment Data'!CC38+'Segment Data'!BZ38</f>
        <v>1050</v>
      </c>
      <c r="BN16" s="74">
        <f>'Segment Data'!CG38</f>
        <v>1103</v>
      </c>
      <c r="BP16" s="11">
        <f>+'Segment Data'!CI38+'Segment Data'!CF38+'Segment Data'!CE38+'Segment Data'!CD38</f>
        <v>1182</v>
      </c>
      <c r="BQ16" s="74">
        <f>+'Segment Data'!CJ38+'Segment Data'!CI38+'Segment Data'!CF38+'Segment Data'!CE38</f>
        <v>1125</v>
      </c>
      <c r="BR16" s="11">
        <f>+'Segment Data'!CF38+'Segment Data'!CI38+'Segment Data'!CJ38+'Segment Data'!CK38</f>
        <v>1110</v>
      </c>
      <c r="BS16" s="74">
        <f>+'Segment Data'!CI38+'Segment Data'!CJ38+'Segment Data'!CK38+'Segment Data'!CL38</f>
        <v>1061</v>
      </c>
      <c r="BU16" s="11">
        <f>+'Segment Data'!CO38+'Segment Data'!CL38+'Segment Data'!CK38+'Segment Data'!CJ38</f>
        <v>1010</v>
      </c>
      <c r="BV16" s="74">
        <f>+'Segment Data'!CP38+'Segment Data'!CO38+'Segment Data'!CL38+'Segment Data'!CK38</f>
        <v>1195</v>
      </c>
      <c r="BW16" s="11"/>
      <c r="BX16" s="11"/>
    </row>
    <row r="17" spans="1:76">
      <c r="A17" s="185" t="s">
        <v>137</v>
      </c>
      <c r="D17" s="123"/>
      <c r="F17" s="123"/>
      <c r="I17" s="123"/>
      <c r="K17" s="123"/>
      <c r="N17" s="123"/>
      <c r="P17" s="123"/>
      <c r="S17" s="123"/>
      <c r="U17" s="123"/>
      <c r="W17" s="9"/>
      <c r="X17" s="74"/>
      <c r="Y17" s="9"/>
      <c r="Z17" s="74"/>
      <c r="AA17" s="9"/>
      <c r="AB17" s="9"/>
      <c r="AC17" s="74"/>
      <c r="AD17" s="9"/>
      <c r="AE17" s="74"/>
      <c r="AF17" s="9"/>
      <c r="AG17" s="9"/>
      <c r="AH17" s="74"/>
      <c r="AI17" s="9"/>
      <c r="AJ17" s="74"/>
      <c r="AK17" s="9"/>
      <c r="AL17" s="11"/>
      <c r="AM17" s="74"/>
      <c r="AN17" s="11"/>
      <c r="AO17" s="74"/>
      <c r="AP17" s="9"/>
      <c r="AQ17" s="11"/>
      <c r="AR17" s="74"/>
      <c r="AS17" s="11"/>
      <c r="AT17" s="74"/>
      <c r="AV17" s="11"/>
      <c r="AW17" s="74"/>
      <c r="AX17" s="11"/>
      <c r="AY17" s="74"/>
      <c r="BA17" s="11"/>
      <c r="BB17" s="74"/>
      <c r="BC17" s="11"/>
      <c r="BD17" s="74"/>
      <c r="BF17" s="11"/>
      <c r="BG17" s="74"/>
      <c r="BH17" s="11"/>
      <c r="BI17" s="74"/>
      <c r="BK17" s="11"/>
      <c r="BL17" s="74"/>
      <c r="BM17" s="11"/>
      <c r="BN17" s="74"/>
      <c r="BP17" s="11"/>
      <c r="BQ17" s="74"/>
      <c r="BR17" s="11"/>
      <c r="BS17" s="74"/>
      <c r="BU17" s="11"/>
      <c r="BV17" s="74"/>
      <c r="BW17" s="11"/>
      <c r="BX17" s="11"/>
    </row>
    <row r="18" spans="1:76">
      <c r="A18" s="2" t="s">
        <v>209</v>
      </c>
      <c r="D18" s="123"/>
      <c r="F18" s="123">
        <v>-90</v>
      </c>
      <c r="H18" s="2">
        <v>-90</v>
      </c>
      <c r="I18" s="123">
        <v>-15</v>
      </c>
      <c r="J18" s="2">
        <v>-15</v>
      </c>
      <c r="K18" s="123"/>
      <c r="N18" s="123"/>
      <c r="P18" s="123"/>
      <c r="S18" s="123"/>
      <c r="U18" s="123"/>
      <c r="W18" s="9"/>
      <c r="X18" s="74"/>
      <c r="Y18" s="9"/>
      <c r="Z18" s="74"/>
      <c r="AA18" s="9"/>
      <c r="AB18" s="9"/>
      <c r="AC18" s="74"/>
      <c r="AD18" s="9"/>
      <c r="AE18" s="74"/>
      <c r="AF18" s="9"/>
      <c r="AG18" s="9"/>
      <c r="AH18" s="74"/>
      <c r="AI18" s="9"/>
      <c r="AJ18" s="74"/>
      <c r="AK18" s="9"/>
      <c r="AL18" s="11"/>
      <c r="AM18" s="74"/>
      <c r="AN18" s="11"/>
      <c r="AO18" s="74"/>
      <c r="AP18" s="9"/>
      <c r="AQ18" s="11"/>
      <c r="AR18" s="74"/>
      <c r="AS18" s="11"/>
      <c r="AT18" s="74"/>
      <c r="AV18" s="11"/>
      <c r="AW18" s="74"/>
      <c r="AX18" s="11"/>
      <c r="AY18" s="74"/>
      <c r="BA18" s="11"/>
      <c r="BB18" s="74"/>
      <c r="BC18" s="11"/>
      <c r="BD18" s="74"/>
      <c r="BF18" s="11"/>
      <c r="BG18" s="74"/>
      <c r="BH18" s="11"/>
      <c r="BI18" s="74"/>
      <c r="BK18" s="11"/>
      <c r="BL18" s="74"/>
      <c r="BM18" s="11"/>
      <c r="BN18" s="74"/>
      <c r="BP18" s="11"/>
      <c r="BQ18" s="74"/>
      <c r="BR18" s="11"/>
      <c r="BS18" s="74"/>
      <c r="BU18" s="11"/>
      <c r="BV18" s="74"/>
      <c r="BW18" s="11"/>
      <c r="BX18" s="11"/>
    </row>
    <row r="19" spans="1:76">
      <c r="A19" s="2" t="s">
        <v>48</v>
      </c>
      <c r="D19" s="123"/>
      <c r="F19" s="123"/>
      <c r="H19" s="2">
        <v>-60</v>
      </c>
      <c r="I19" s="123">
        <v>-71</v>
      </c>
      <c r="J19" s="2">
        <v>-110</v>
      </c>
      <c r="K19" s="123">
        <v>-125</v>
      </c>
      <c r="M19" s="2">
        <v>-65</v>
      </c>
      <c r="N19" s="123">
        <v>-54</v>
      </c>
      <c r="O19" s="2">
        <v>-15</v>
      </c>
      <c r="P19" s="123"/>
      <c r="S19" s="123"/>
      <c r="T19" s="2">
        <v>-138</v>
      </c>
      <c r="U19" s="123">
        <v>-186</v>
      </c>
      <c r="W19" s="9">
        <v>-191</v>
      </c>
      <c r="X19" s="74">
        <v>-191</v>
      </c>
      <c r="Y19" s="9">
        <v>-53</v>
      </c>
      <c r="Z19" s="74">
        <v>-39</v>
      </c>
      <c r="AA19" s="9"/>
      <c r="AB19" s="9">
        <v>-39</v>
      </c>
      <c r="AC19" s="74">
        <f>-109-25</f>
        <v>-134</v>
      </c>
      <c r="AD19" s="9">
        <f>-113-25</f>
        <v>-138</v>
      </c>
      <c r="AE19" s="74">
        <v>-108</v>
      </c>
      <c r="AF19" s="9"/>
      <c r="AG19" s="9">
        <v>-108</v>
      </c>
      <c r="AH19" s="74">
        <v>0</v>
      </c>
      <c r="AI19" s="9">
        <v>0</v>
      </c>
      <c r="AJ19" s="74">
        <v>-70</v>
      </c>
      <c r="AK19" s="9"/>
      <c r="AL19" s="11">
        <v>-70</v>
      </c>
      <c r="AM19" s="74">
        <v>-70</v>
      </c>
      <c r="AN19" s="11">
        <v>-70</v>
      </c>
      <c r="AO19" s="74"/>
      <c r="AP19" s="9"/>
      <c r="AQ19" s="11"/>
      <c r="AR19" s="74"/>
      <c r="AS19" s="11"/>
      <c r="AT19" s="74"/>
      <c r="AV19" s="11"/>
      <c r="AW19" s="74"/>
      <c r="AX19" s="11"/>
      <c r="AY19" s="74"/>
      <c r="BA19" s="11"/>
      <c r="BB19" s="74"/>
      <c r="BC19" s="11"/>
      <c r="BD19" s="74"/>
      <c r="BF19" s="11"/>
      <c r="BG19" s="74"/>
      <c r="BH19" s="11"/>
      <c r="BI19" s="74"/>
      <c r="BK19" s="11"/>
      <c r="BL19" s="74"/>
      <c r="BM19" s="11"/>
      <c r="BN19" s="74"/>
      <c r="BP19" s="11"/>
      <c r="BQ19" s="74"/>
      <c r="BR19" s="11"/>
      <c r="BS19" s="74"/>
      <c r="BU19" s="11"/>
      <c r="BV19" s="74"/>
      <c r="BW19" s="11"/>
      <c r="BX19" s="11"/>
    </row>
    <row r="20" spans="1:76">
      <c r="A20" s="2" t="s">
        <v>49</v>
      </c>
      <c r="D20" s="123"/>
      <c r="F20" s="123"/>
      <c r="I20" s="123"/>
      <c r="K20" s="123">
        <v>121</v>
      </c>
      <c r="M20" s="2">
        <v>121</v>
      </c>
      <c r="N20" s="123">
        <v>121</v>
      </c>
      <c r="O20" s="2">
        <v>121</v>
      </c>
      <c r="P20" s="123"/>
      <c r="S20" s="123"/>
      <c r="U20" s="123">
        <v>24</v>
      </c>
      <c r="W20" s="9">
        <v>24</v>
      </c>
      <c r="X20" s="74">
        <v>59</v>
      </c>
      <c r="Y20" s="9">
        <v>59</v>
      </c>
      <c r="Z20" s="74">
        <v>35</v>
      </c>
      <c r="AA20" s="9"/>
      <c r="AB20" s="9">
        <v>35</v>
      </c>
      <c r="AC20" s="74">
        <v>0</v>
      </c>
      <c r="AD20" s="9">
        <v>0</v>
      </c>
      <c r="AE20" s="74">
        <v>0</v>
      </c>
      <c r="AF20" s="9"/>
      <c r="AG20" s="9"/>
      <c r="AH20" s="74"/>
      <c r="AI20" s="9"/>
      <c r="AJ20" s="74"/>
      <c r="AK20" s="9"/>
      <c r="AL20" s="11"/>
      <c r="AM20" s="74"/>
      <c r="AN20" s="11">
        <v>31</v>
      </c>
      <c r="AO20" s="74">
        <v>82</v>
      </c>
      <c r="AP20" s="9"/>
      <c r="AQ20" s="11">
        <v>102</v>
      </c>
      <c r="AR20" s="74">
        <v>159</v>
      </c>
      <c r="AS20" s="11">
        <v>166</v>
      </c>
      <c r="AT20" s="74">
        <v>152</v>
      </c>
      <c r="AV20" s="11">
        <f>152-20+22</f>
        <v>154</v>
      </c>
      <c r="AW20" s="74">
        <v>121</v>
      </c>
      <c r="AX20" s="11">
        <v>110</v>
      </c>
      <c r="AY20" s="74">
        <v>86</v>
      </c>
      <c r="BA20" s="11">
        <v>69</v>
      </c>
      <c r="BB20" s="74">
        <v>54</v>
      </c>
      <c r="BC20" s="11">
        <v>31</v>
      </c>
      <c r="BD20" s="74">
        <v>33</v>
      </c>
      <c r="BF20" s="11">
        <v>29</v>
      </c>
      <c r="BG20" s="74">
        <v>31</v>
      </c>
      <c r="BH20" s="11">
        <v>39</v>
      </c>
      <c r="BI20" s="74">
        <v>30</v>
      </c>
      <c r="BK20" s="11">
        <v>28</v>
      </c>
      <c r="BL20" s="74">
        <v>20</v>
      </c>
      <c r="BM20" s="11">
        <v>23</v>
      </c>
      <c r="BN20" s="74">
        <v>-18</v>
      </c>
      <c r="BP20" s="11">
        <v>37</v>
      </c>
      <c r="BQ20" s="74">
        <f>74+64</f>
        <v>138</v>
      </c>
      <c r="BR20" s="11">
        <v>167</v>
      </c>
      <c r="BS20" s="74">
        <v>304</v>
      </c>
      <c r="BU20" s="11">
        <v>288</v>
      </c>
      <c r="BV20" s="74">
        <v>220</v>
      </c>
      <c r="BW20" s="11"/>
      <c r="BX20" s="27"/>
    </row>
    <row r="21" spans="1:76">
      <c r="A21" s="2" t="s">
        <v>210</v>
      </c>
      <c r="D21" s="123"/>
      <c r="F21" s="123"/>
      <c r="I21" s="123"/>
      <c r="K21" s="123"/>
      <c r="N21" s="123"/>
      <c r="P21" s="123"/>
      <c r="S21" s="123">
        <v>93</v>
      </c>
      <c r="T21" s="2">
        <v>69</v>
      </c>
      <c r="U21" s="123">
        <v>59</v>
      </c>
      <c r="W21" s="9">
        <v>25</v>
      </c>
      <c r="X21" s="74">
        <v>0</v>
      </c>
      <c r="Y21" s="9">
        <v>0</v>
      </c>
      <c r="Z21" s="74">
        <v>0</v>
      </c>
      <c r="AA21" s="9"/>
      <c r="AB21" s="9"/>
      <c r="AC21" s="74"/>
      <c r="AD21" s="9"/>
      <c r="AE21" s="74"/>
      <c r="AF21" s="9"/>
      <c r="AG21" s="9">
        <v>100</v>
      </c>
      <c r="AH21" s="74">
        <v>60</v>
      </c>
      <c r="AI21" s="11">
        <v>30</v>
      </c>
      <c r="AJ21" s="74"/>
      <c r="AK21" s="9"/>
      <c r="AL21" s="11"/>
      <c r="AM21" s="74"/>
      <c r="AN21" s="11"/>
      <c r="AO21" s="74"/>
      <c r="AP21" s="9"/>
      <c r="AQ21" s="11"/>
      <c r="AR21" s="74"/>
      <c r="AS21" s="11"/>
      <c r="AT21" s="74"/>
      <c r="AV21" s="11"/>
      <c r="AW21" s="74"/>
      <c r="AX21" s="11"/>
      <c r="AY21" s="74"/>
      <c r="BA21" s="11"/>
      <c r="BB21" s="74"/>
      <c r="BC21" s="11"/>
      <c r="BD21" s="74"/>
      <c r="BF21" s="11"/>
      <c r="BG21" s="74"/>
      <c r="BH21" s="11"/>
      <c r="BI21" s="74"/>
      <c r="BK21" s="11"/>
      <c r="BL21" s="74"/>
      <c r="BM21" s="11"/>
      <c r="BN21" s="74"/>
      <c r="BP21" s="11"/>
      <c r="BQ21" s="74"/>
      <c r="BR21" s="11"/>
      <c r="BS21" s="74"/>
      <c r="BU21" s="11"/>
      <c r="BV21" s="74"/>
      <c r="BW21" s="11"/>
      <c r="BX21" s="11"/>
    </row>
    <row r="22" spans="1:76">
      <c r="A22" s="2" t="s">
        <v>199</v>
      </c>
      <c r="D22" s="123"/>
      <c r="F22" s="123"/>
      <c r="I22" s="123"/>
      <c r="K22" s="123"/>
      <c r="M22" s="2">
        <v>-6</v>
      </c>
      <c r="N22" s="123">
        <v>-6</v>
      </c>
      <c r="O22" s="2">
        <v>-6</v>
      </c>
      <c r="P22" s="123">
        <v>-26</v>
      </c>
      <c r="R22" s="2">
        <v>-20</v>
      </c>
      <c r="S22" s="123">
        <v>-20</v>
      </c>
      <c r="T22" s="2">
        <v>-20</v>
      </c>
      <c r="U22" s="123"/>
      <c r="W22" s="9"/>
      <c r="X22" s="74"/>
      <c r="Y22" s="9"/>
      <c r="Z22" s="74"/>
      <c r="AA22" s="9"/>
      <c r="AB22" s="9"/>
      <c r="AC22" s="74"/>
      <c r="AD22" s="9"/>
      <c r="AE22" s="74"/>
      <c r="AF22" s="9"/>
      <c r="AG22" s="9"/>
      <c r="AH22" s="74"/>
      <c r="AI22" s="9"/>
      <c r="AJ22" s="74"/>
      <c r="AK22" s="9"/>
      <c r="AL22" s="11"/>
      <c r="AM22" s="74"/>
      <c r="AN22" s="11"/>
      <c r="AO22" s="74"/>
      <c r="AP22" s="9"/>
      <c r="AQ22" s="11"/>
      <c r="AR22" s="74"/>
      <c r="AS22" s="11"/>
      <c r="AT22" s="74"/>
      <c r="AV22" s="11"/>
      <c r="AW22" s="74"/>
      <c r="AX22" s="11"/>
      <c r="AY22" s="74"/>
      <c r="BA22" s="11"/>
      <c r="BB22" s="74"/>
      <c r="BC22" s="11"/>
      <c r="BD22" s="74"/>
      <c r="BF22" s="11"/>
      <c r="BG22" s="74"/>
      <c r="BH22" s="11"/>
      <c r="BI22" s="74"/>
      <c r="BK22" s="11"/>
      <c r="BL22" s="74"/>
      <c r="BM22" s="11">
        <v>0</v>
      </c>
      <c r="BN22" s="74"/>
      <c r="BP22" s="11">
        <v>-97</v>
      </c>
      <c r="BQ22" s="74">
        <v>-97</v>
      </c>
      <c r="BR22" s="11">
        <v>-97</v>
      </c>
      <c r="BS22" s="74">
        <v>-96</v>
      </c>
      <c r="BU22" s="11">
        <v>0</v>
      </c>
      <c r="BV22" s="74"/>
      <c r="BW22" s="11"/>
      <c r="BX22" s="11"/>
    </row>
    <row r="23" spans="1:76" s="154" customFormat="1">
      <c r="A23" s="154" t="s">
        <v>138</v>
      </c>
      <c r="B23" s="155"/>
      <c r="D23" s="191"/>
      <c r="F23" s="159">
        <f>SUM(F16:F22)</f>
        <v>225</v>
      </c>
      <c r="G23" s="155"/>
      <c r="H23" s="158">
        <f>SUM(H16:H22)</f>
        <v>194</v>
      </c>
      <c r="I23" s="159">
        <f>SUM(I16:I22)</f>
        <v>175</v>
      </c>
      <c r="J23" s="158">
        <f>SUM(J16:J22)</f>
        <v>178</v>
      </c>
      <c r="K23" s="159">
        <f>SUM(K16:K22)</f>
        <v>164</v>
      </c>
      <c r="M23" s="158">
        <f>SUM(M16:M22)</f>
        <v>218</v>
      </c>
      <c r="N23" s="159">
        <f>SUM(N16:N22)</f>
        <v>244</v>
      </c>
      <c r="O23" s="158">
        <f>SUM(O16:O22)</f>
        <v>296</v>
      </c>
      <c r="P23" s="159">
        <f>SUM(P16:P22)</f>
        <v>360</v>
      </c>
      <c r="R23" s="158">
        <f>SUM(R16:R22)</f>
        <v>371</v>
      </c>
      <c r="S23" s="159">
        <f>SUM(S16:S22)</f>
        <v>512</v>
      </c>
      <c r="T23" s="158">
        <f>SUM(T16:T22)</f>
        <v>513</v>
      </c>
      <c r="U23" s="159">
        <f>SUM(U16:U22)</f>
        <v>513</v>
      </c>
      <c r="W23" s="158">
        <f>SUM(W16:W22)</f>
        <v>528</v>
      </c>
      <c r="X23" s="159">
        <f>SUM(X16:X22)</f>
        <v>563</v>
      </c>
      <c r="Y23" s="158">
        <f>SUM(Y16:Y22)</f>
        <v>634</v>
      </c>
      <c r="Z23" s="159">
        <f>SUM(Z16:Z22)</f>
        <v>709</v>
      </c>
      <c r="AA23" s="158"/>
      <c r="AB23" s="158">
        <f>SUM(AB16:AB22)</f>
        <v>760</v>
      </c>
      <c r="AC23" s="159">
        <f>SUM(AC16:AC22)</f>
        <v>829</v>
      </c>
      <c r="AD23" s="158">
        <f>SUM(AD16:AD22)</f>
        <v>890</v>
      </c>
      <c r="AE23" s="159">
        <f>SUM(AE16:AE22)</f>
        <v>914</v>
      </c>
      <c r="AF23" s="158"/>
      <c r="AG23" s="158">
        <f>SUM(AG16:AG22)</f>
        <v>1094</v>
      </c>
      <c r="AH23" s="159">
        <f>SUM(AH16:AH22)</f>
        <v>1186</v>
      </c>
      <c r="AI23" s="158">
        <f>SUM(AI16:AI22)</f>
        <v>1234</v>
      </c>
      <c r="AJ23" s="159">
        <f>SUM(AJ16:AJ22)</f>
        <v>1363</v>
      </c>
      <c r="AK23" s="158"/>
      <c r="AL23" s="156">
        <f>SUM(AL16:AL22)</f>
        <v>1412</v>
      </c>
      <c r="AM23" s="159">
        <f>SUM(AM16:AM22)</f>
        <v>1476</v>
      </c>
      <c r="AN23" s="156">
        <f>SUM(AN16:AN22)</f>
        <v>1503</v>
      </c>
      <c r="AO23" s="159">
        <f>SUM(AO16:AO22)</f>
        <v>1300</v>
      </c>
      <c r="AP23" s="158"/>
      <c r="AQ23" s="156">
        <f>SUM(AQ16:AQ22)</f>
        <v>1142</v>
      </c>
      <c r="AR23" s="159">
        <f>SUM(AR16:AR22)</f>
        <v>975</v>
      </c>
      <c r="AS23" s="156">
        <f>SUM(AS16:AS22)</f>
        <v>878</v>
      </c>
      <c r="AT23" s="159">
        <f>SUM(AT16:AT22)</f>
        <v>935</v>
      </c>
      <c r="AV23" s="156">
        <f>SUM(AV16:AV22)</f>
        <v>1023</v>
      </c>
      <c r="AW23" s="159">
        <f>SUM(AW16:AW22)</f>
        <v>1011</v>
      </c>
      <c r="AX23" s="156">
        <f>SUM(AX16:AX22)</f>
        <v>1025</v>
      </c>
      <c r="AY23" s="159">
        <f>SUM(AY16:AY22)</f>
        <v>985</v>
      </c>
      <c r="BA23" s="156">
        <f>SUM(BA16:BA22)</f>
        <v>971</v>
      </c>
      <c r="BB23" s="159">
        <f>SUM(BB16:BB22)</f>
        <v>908</v>
      </c>
      <c r="BC23" s="156">
        <f>SUM(BC16:BC22)</f>
        <v>947</v>
      </c>
      <c r="BD23" s="159">
        <f>SUM(BD16:BD22)</f>
        <v>1036</v>
      </c>
      <c r="BF23" s="156">
        <f>SUM(BF16:BF22)</f>
        <v>1044</v>
      </c>
      <c r="BG23" s="159">
        <f>SUM(BG16:BG22)</f>
        <v>1065</v>
      </c>
      <c r="BH23" s="156">
        <f>SUM(BH16:BH22)</f>
        <v>1000</v>
      </c>
      <c r="BI23" s="159">
        <f>SUM(BI16:BI22)</f>
        <v>1039</v>
      </c>
      <c r="BK23" s="156">
        <f>SUM(BK16:BK22)</f>
        <v>1026</v>
      </c>
      <c r="BL23" s="159">
        <f>SUM(BL16:BL22)</f>
        <v>1068</v>
      </c>
      <c r="BM23" s="156">
        <f>SUM(BM16:BM22)</f>
        <v>1073</v>
      </c>
      <c r="BN23" s="159">
        <f>SUM(BN16:BN22)</f>
        <v>1085</v>
      </c>
      <c r="BP23" s="156">
        <f>SUM(BP16:BP22)</f>
        <v>1122</v>
      </c>
      <c r="BQ23" s="159">
        <f>SUM(BQ16:BQ22)</f>
        <v>1166</v>
      </c>
      <c r="BR23" s="156">
        <f>SUM(BR16:BR22)</f>
        <v>1180</v>
      </c>
      <c r="BS23" s="159">
        <f>SUM(BS16:BS22)</f>
        <v>1269</v>
      </c>
      <c r="BU23" s="156">
        <f>SUM(BU16:BU22)</f>
        <v>1298</v>
      </c>
      <c r="BV23" s="159">
        <f>SUM(BV16:BV22)</f>
        <v>1415</v>
      </c>
      <c r="BW23" s="156"/>
      <c r="BX23" s="156"/>
    </row>
    <row r="24" spans="1:76" s="160" customFormat="1">
      <c r="B24" s="161"/>
      <c r="D24" s="175"/>
      <c r="F24" s="175"/>
      <c r="G24" s="177"/>
      <c r="I24" s="175"/>
      <c r="K24" s="175"/>
      <c r="N24" s="175"/>
      <c r="P24" s="175"/>
      <c r="S24" s="175"/>
      <c r="U24" s="175"/>
      <c r="W24" s="162"/>
      <c r="X24" s="196"/>
      <c r="Y24" s="162"/>
      <c r="Z24" s="196"/>
      <c r="AA24" s="162"/>
      <c r="AB24" s="162"/>
      <c r="AC24" s="196"/>
      <c r="AD24" s="162"/>
      <c r="AE24" s="196"/>
      <c r="AF24" s="162"/>
      <c r="AG24" s="162"/>
      <c r="AH24" s="196"/>
      <c r="AI24" s="162"/>
      <c r="AJ24" s="196"/>
      <c r="AK24" s="162"/>
      <c r="AL24" s="163"/>
      <c r="AM24" s="196"/>
      <c r="AN24" s="163"/>
      <c r="AO24" s="196"/>
      <c r="AP24" s="162"/>
      <c r="AQ24" s="163"/>
      <c r="AR24" s="196"/>
      <c r="AS24" s="163"/>
      <c r="AT24" s="196"/>
      <c r="AV24" s="163"/>
      <c r="AW24" s="196"/>
      <c r="AX24" s="163"/>
      <c r="AY24" s="196"/>
      <c r="BA24" s="163"/>
      <c r="BB24" s="196"/>
      <c r="BC24" s="163"/>
      <c r="BD24" s="196"/>
      <c r="BF24" s="163"/>
      <c r="BG24" s="196"/>
      <c r="BH24" s="163"/>
      <c r="BI24" s="196"/>
      <c r="BK24" s="163"/>
      <c r="BL24" s="196"/>
      <c r="BM24" s="163"/>
      <c r="BN24" s="196"/>
      <c r="BP24" s="163"/>
      <c r="BQ24" s="196"/>
      <c r="BR24" s="163"/>
      <c r="BS24" s="196"/>
      <c r="BU24" s="163"/>
      <c r="BV24" s="196"/>
      <c r="BW24" s="163"/>
      <c r="BX24" s="163"/>
    </row>
    <row r="25" spans="1:76">
      <c r="A25" s="2" t="s">
        <v>50</v>
      </c>
      <c r="D25" s="123"/>
      <c r="F25" s="74">
        <f>F23-F26</f>
        <v>300</v>
      </c>
      <c r="H25" s="9">
        <f>H23-H26</f>
        <v>289</v>
      </c>
      <c r="I25" s="74">
        <f>I23-I26</f>
        <v>292</v>
      </c>
      <c r="J25" s="9">
        <f>J23-J26</f>
        <v>308</v>
      </c>
      <c r="K25" s="74">
        <f>K23-K26</f>
        <v>314</v>
      </c>
      <c r="M25" s="9">
        <f>M23-M26</f>
        <v>358</v>
      </c>
      <c r="N25" s="74">
        <f>N23-N26</f>
        <v>366</v>
      </c>
      <c r="O25" s="9">
        <f>O23-O26</f>
        <v>412</v>
      </c>
      <c r="P25" s="74">
        <f>P23-P26</f>
        <v>445</v>
      </c>
      <c r="R25" s="9">
        <f>R23-R26</f>
        <v>451</v>
      </c>
      <c r="S25" s="74">
        <f>S23-S26</f>
        <v>591</v>
      </c>
      <c r="T25" s="9">
        <f>T23-T26</f>
        <v>586</v>
      </c>
      <c r="U25" s="74">
        <f>U23-U26</f>
        <v>587</v>
      </c>
      <c r="W25" s="9">
        <f>W23-W26</f>
        <v>582</v>
      </c>
      <c r="X25" s="74">
        <f>X23-X26</f>
        <v>603</v>
      </c>
      <c r="Y25" s="9">
        <f>Y23-Y26</f>
        <v>656</v>
      </c>
      <c r="Z25" s="74">
        <f>Z23-Z26</f>
        <v>717</v>
      </c>
      <c r="AA25" s="9"/>
      <c r="AB25" s="9">
        <f>AB23-AB26</f>
        <v>773</v>
      </c>
      <c r="AC25" s="74">
        <f>AC23-AC26</f>
        <v>844</v>
      </c>
      <c r="AD25" s="9">
        <f>AD23-AD26</f>
        <v>911</v>
      </c>
      <c r="AE25" s="74">
        <f>AE23-AE26</f>
        <v>932</v>
      </c>
      <c r="AF25" s="9"/>
      <c r="AG25" s="9">
        <f>AG23-AG26</f>
        <v>1116</v>
      </c>
      <c r="AH25" s="74">
        <f>AH23-AH26</f>
        <v>1204</v>
      </c>
      <c r="AI25" s="9">
        <f>AI23-AI26</f>
        <v>1248</v>
      </c>
      <c r="AJ25" s="74">
        <f>AJ23-AJ26</f>
        <v>1381</v>
      </c>
      <c r="AK25" s="9"/>
      <c r="AL25" s="11">
        <f>AL23-AL26</f>
        <v>1434</v>
      </c>
      <c r="AM25" s="74">
        <f>AM23-AM26</f>
        <v>1496</v>
      </c>
      <c r="AN25" s="11">
        <f>AN23-AN26</f>
        <v>1525</v>
      </c>
      <c r="AO25" s="74">
        <f>AO23-AO26</f>
        <v>1330</v>
      </c>
      <c r="AP25" s="9"/>
      <c r="AQ25" s="11">
        <f>AQ23-AQ26</f>
        <v>1167</v>
      </c>
      <c r="AR25" s="74">
        <f>AR23-AR26</f>
        <v>1012</v>
      </c>
      <c r="AS25" s="11">
        <f>AS23-AS26</f>
        <v>919</v>
      </c>
      <c r="AT25" s="74">
        <f>AT23-AT26</f>
        <v>966</v>
      </c>
      <c r="AV25" s="11">
        <f>AV23-AV26</f>
        <v>1052</v>
      </c>
      <c r="AW25" s="74">
        <f>AW23-AW26</f>
        <v>1033</v>
      </c>
      <c r="AX25" s="11">
        <f>AX23-AX26</f>
        <v>1040</v>
      </c>
      <c r="AY25" s="74">
        <f>AY23-AY26</f>
        <v>996</v>
      </c>
      <c r="BA25" s="11">
        <f>BA23-BA26</f>
        <v>984</v>
      </c>
      <c r="BB25" s="74">
        <f>BB23-BB26</f>
        <v>917</v>
      </c>
      <c r="BC25" s="11">
        <f>BC23-BC26</f>
        <v>951</v>
      </c>
      <c r="BD25" s="74">
        <f>BD23-BD26</f>
        <v>1035</v>
      </c>
      <c r="BF25" s="11">
        <f>BF23-BF26</f>
        <v>1036</v>
      </c>
      <c r="BG25" s="74">
        <f>BG23-BG26</f>
        <v>1060</v>
      </c>
      <c r="BH25" s="11">
        <f>BH23-BH26</f>
        <v>999</v>
      </c>
      <c r="BI25" s="74">
        <f>BI23-BI26</f>
        <v>1030</v>
      </c>
      <c r="BK25" s="11">
        <f>BK23-BK26</f>
        <v>1021</v>
      </c>
      <c r="BL25" s="74">
        <f>BL23-BL26</f>
        <v>1060</v>
      </c>
      <c r="BM25" s="11">
        <f>BM23-BM26</f>
        <v>1062</v>
      </c>
      <c r="BN25" s="74">
        <f>BN23-BN26</f>
        <v>1079</v>
      </c>
      <c r="BP25" s="11">
        <f>BP23-BP26</f>
        <v>1111</v>
      </c>
      <c r="BQ25" s="74">
        <f>BQ23-BQ26</f>
        <v>1156</v>
      </c>
      <c r="BR25" s="11">
        <f>BR23-BR26</f>
        <v>1171</v>
      </c>
      <c r="BS25" s="74">
        <f>BS23-BS26</f>
        <v>1248</v>
      </c>
      <c r="BU25" s="11">
        <f>BU23-BU26</f>
        <v>1278</v>
      </c>
      <c r="BV25" s="74">
        <f>BV23-BV26</f>
        <v>1401</v>
      </c>
      <c r="BW25" s="11"/>
      <c r="BX25" s="11"/>
    </row>
    <row r="26" spans="1:76">
      <c r="A26" s="2" t="s">
        <v>51</v>
      </c>
      <c r="C26" s="2" t="s">
        <v>63</v>
      </c>
      <c r="D26" s="123"/>
      <c r="F26" s="74">
        <f>'Segment Data'!G35+'Segment Data'!G36</f>
        <v>-75</v>
      </c>
      <c r="H26" s="9">
        <f>'Segment Data'!D35+'Segment Data'!E35+'Segment Data'!F35+'Segment Data'!D36+'Segment Data'!E36+'Segment Data'!F36+'Segment Data'!I35+'Segment Data'!I36</f>
        <v>-95</v>
      </c>
      <c r="I26" s="74">
        <f>'Segment Data'!E35+'Segment Data'!F35+'Segment Data'!E36+'Segment Data'!F36+'Segment Data'!I35+'Segment Data'!J35+'Segment Data'!I36+'Segment Data'!J36</f>
        <v>-117</v>
      </c>
      <c r="J26" s="9">
        <f>'Segment Data'!F35+'Segment Data'!F36+'Segment Data'!I35+'Segment Data'!I36+'Segment Data'!J35+'Segment Data'!J36+'Segment Data'!K35+'Segment Data'!K36</f>
        <v>-130</v>
      </c>
      <c r="K26" s="74">
        <f>'Segment Data'!M35+'Segment Data'!M36</f>
        <v>-150</v>
      </c>
      <c r="M26" s="9">
        <f>'Segment Data'!J35+'Segment Data'!J36+'Segment Data'!K35+'Segment Data'!K36+'Segment Data'!L35+'Segment Data'!L36+'Segment Data'!O35+'Segment Data'!O36</f>
        <v>-140</v>
      </c>
      <c r="N26" s="74">
        <f>'Segment Data'!K35+'Segment Data'!K36+'Segment Data'!L35+'Segment Data'!L36+'Segment Data'!O35+'Segment Data'!O36+'Segment Data'!P35+'Segment Data'!P36</f>
        <v>-122</v>
      </c>
      <c r="O26" s="9">
        <f>'Segment Data'!L35+'Segment Data'!L36+'Segment Data'!O35+'Segment Data'!O36+'Segment Data'!P35+'Segment Data'!P36+'Segment Data'!Q35+'Segment Data'!Q36</f>
        <v>-116</v>
      </c>
      <c r="P26" s="74">
        <f>'Segment Data'!S35+'Segment Data'!S36</f>
        <v>-85</v>
      </c>
      <c r="R26" s="9">
        <f>'Segment Data'!P35+'Segment Data'!P36+'Segment Data'!Q35+'Segment Data'!Q36+'Segment Data'!R35+'Segment Data'!R36+'Segment Data'!U35+'Segment Data'!U36</f>
        <v>-80</v>
      </c>
      <c r="S26" s="74">
        <f>'Segment Data'!Q35+'Segment Data'!Q36+'Segment Data'!R35+'Segment Data'!R36+'Segment Data'!U35+'Segment Data'!U36+'Segment Data'!V35+'Segment Data'!V36</f>
        <v>-79</v>
      </c>
      <c r="T26" s="9">
        <f>'Segment Data'!R35+'Segment Data'!R36+'Segment Data'!U35+'Segment Data'!U36+'Segment Data'!V35+'Segment Data'!V36+'Segment Data'!W35+'Segment Data'!W36</f>
        <v>-73</v>
      </c>
      <c r="U26" s="74">
        <v>-74</v>
      </c>
      <c r="W26" s="9">
        <f>'Segment Data'!V35+'Segment Data'!V36+'Segment Data'!W35+'Segment Data'!W36+'Segment Data'!X35+'Segment Data'!X36+'Segment Data'!AG35+'Segment Data'!AG36+14</f>
        <v>-54</v>
      </c>
      <c r="X26" s="74">
        <f>'Segment Data'!AH35+'Segment Data'!AG35+'Segment Data'!X35+'Segment Data'!W35+14</f>
        <v>-40</v>
      </c>
      <c r="Y26" s="9">
        <f>'Segment Data'!AI35+'Segment Data'!AH35+'Segment Data'!AG35+'Segment Data'!AD35+14</f>
        <v>-22</v>
      </c>
      <c r="Z26" s="74">
        <f>'Segment Data'!AK35</f>
        <v>-8</v>
      </c>
      <c r="AA26" s="9"/>
      <c r="AB26" s="9">
        <f>'Segment Data'!AH35+'Segment Data'!AI35+'Segment Data'!AJ35+'Segment Data'!AM35</f>
        <v>-13</v>
      </c>
      <c r="AC26" s="74">
        <f>'Segment Data'!AN35+'Segment Data'!AM35+'Segment Data'!AJ35+'Segment Data'!AI35</f>
        <v>-15</v>
      </c>
      <c r="AD26" s="9">
        <f>'Segment Data'!AO35+'Segment Data'!AN35+'Segment Data'!AM35+'Segment Data'!AJ35</f>
        <v>-21</v>
      </c>
      <c r="AE26" s="74">
        <f>'Segment Data'!AQ35</f>
        <v>-18</v>
      </c>
      <c r="AF26" s="9"/>
      <c r="AG26" s="9">
        <f>'Segment Data'!AN35+'Segment Data'!AO35+'Segment Data'!AP35+'Segment Data'!AS35</f>
        <v>-22</v>
      </c>
      <c r="AH26" s="74">
        <f>'Segment Data'!AO35+'Segment Data'!AP35+'Segment Data'!AS35+'Segment Data'!AT35</f>
        <v>-18</v>
      </c>
      <c r="AI26" s="9">
        <f>'Segment Data'!AP35+'Segment Data'!AS35+'Segment Data'!AT35+'Segment Data'!AU35</f>
        <v>-14</v>
      </c>
      <c r="AJ26" s="74">
        <f>+'Segment Data'!AW35</f>
        <v>-18</v>
      </c>
      <c r="AK26" s="9"/>
      <c r="AL26" s="9">
        <f>'Segment Data'!AT35+'Segment Data'!AU35+'Segment Data'!AV35+'Segment Data'!AY35</f>
        <v>-22</v>
      </c>
      <c r="AM26" s="74">
        <f>'Segment Data'!AU35+'Segment Data'!AV35+'Segment Data'!AY35+'Segment Data'!AZ35</f>
        <v>-20</v>
      </c>
      <c r="AN26" s="9">
        <f>'Segment Data'!AV35+'Segment Data'!AY35+'Segment Data'!AZ35+'Segment Data'!BA35</f>
        <v>-22</v>
      </c>
      <c r="AO26" s="74">
        <f>+'Segment Data'!BC35</f>
        <v>-30</v>
      </c>
      <c r="AP26" s="9"/>
      <c r="AQ26" s="9">
        <f>'Segment Data'!AZ35+'Segment Data'!BA35+'Segment Data'!BB35+'Segment Data'!BE35</f>
        <v>-25</v>
      </c>
      <c r="AR26" s="74">
        <f>'Segment Data'!BA35+'Segment Data'!BB35+'Segment Data'!BE35+'Segment Data'!BF35</f>
        <v>-37</v>
      </c>
      <c r="AS26" s="9">
        <f>'Segment Data'!BB35+'Segment Data'!BE35+'Segment Data'!BF35+'Segment Data'!BG35</f>
        <v>-41</v>
      </c>
      <c r="AT26" s="74">
        <f>'Segment Data'!BI35</f>
        <v>-31</v>
      </c>
      <c r="AV26" s="9">
        <f>'Segment Data'!BF35+'Segment Data'!BG35+'Segment Data'!BH35+'Segment Data'!BK35</f>
        <v>-29</v>
      </c>
      <c r="AW26" s="74">
        <f>'Segment Data'!BG35+'Segment Data'!BH35+'Segment Data'!BK35+'Segment Data'!BL35</f>
        <v>-22</v>
      </c>
      <c r="AX26" s="9">
        <f>'Segment Data'!BH35+'Segment Data'!BK35+'Segment Data'!BL35+'Segment Data'!BM35</f>
        <v>-15</v>
      </c>
      <c r="AY26" s="74">
        <f>'Segment Data'!BO35</f>
        <v>-11</v>
      </c>
      <c r="BA26" s="9">
        <f>+'Segment Data'!BQ35+'Segment Data'!BN35+'Segment Data'!BM35+'Segment Data'!BL35</f>
        <v>-13</v>
      </c>
      <c r="BB26" s="74">
        <f>'Segment Data'!BM35+'Segment Data'!BN35+'Segment Data'!BQ35+'Segment Data'!BR35</f>
        <v>-9</v>
      </c>
      <c r="BC26" s="9">
        <f>'Segment Data'!BN35+'Segment Data'!BQ35+'Segment Data'!BR35+'Segment Data'!BS35</f>
        <v>-4</v>
      </c>
      <c r="BD26" s="74">
        <f>'Segment Data'!BU35</f>
        <v>1</v>
      </c>
      <c r="BF26" s="9">
        <f>+'Segment Data'!BW35+'Segment Data'!BT35+'Segment Data'!BS35+'Segment Data'!BR35</f>
        <v>8</v>
      </c>
      <c r="BG26" s="74">
        <f>'Segment Data'!BS35+'Segment Data'!BT35+'Segment Data'!BW35+'Segment Data'!BX35</f>
        <v>5</v>
      </c>
      <c r="BH26" s="9">
        <f>'Segment Data'!BT35+'Segment Data'!BW35+'Segment Data'!BX35+'Segment Data'!BY35</f>
        <v>1</v>
      </c>
      <c r="BI26" s="74">
        <f>'Segment Data'!CA35</f>
        <v>9</v>
      </c>
      <c r="BK26" s="11">
        <f>+'Segment Data'!CC35+'Segment Data'!BZ35+'Segment Data'!BY35+'Segment Data'!BX35</f>
        <v>5</v>
      </c>
      <c r="BL26" s="74">
        <f>'Segment Data'!BY35+'Segment Data'!BZ35+'Segment Data'!CC35+'Segment Data'!CD35</f>
        <v>8</v>
      </c>
      <c r="BM26" s="9">
        <f>'Segment Data'!BZ35+'Segment Data'!CC35+'Segment Data'!CD35+'Segment Data'!CE35</f>
        <v>11</v>
      </c>
      <c r="BN26" s="74">
        <f>'Segment Data'!CG35</f>
        <v>6</v>
      </c>
      <c r="BP26" s="11">
        <f>+'Segment Data'!CI35+'Segment Data'!CF35+'Segment Data'!CE35+'Segment Data'!CD35</f>
        <v>11</v>
      </c>
      <c r="BQ26" s="74">
        <f>+'Segment Data'!CJ35+'Segment Data'!CI35+'Segment Data'!CF35+'Segment Data'!CE35</f>
        <v>10</v>
      </c>
      <c r="BR26" s="9">
        <f>'Segment Data'!CF35+'Segment Data'!CI35+'Segment Data'!CJ35+'Segment Data'!CK35</f>
        <v>9</v>
      </c>
      <c r="BS26" s="74">
        <f>'Segment Data'!CI35+'Segment Data'!CJ35+'Segment Data'!CK35+'Segment Data'!CL35</f>
        <v>21</v>
      </c>
      <c r="BU26" s="11">
        <f>+'Segment Data'!CO35+'Segment Data'!CL35+'Segment Data'!CK35+'Segment Data'!CJ35</f>
        <v>20</v>
      </c>
      <c r="BV26" s="74">
        <f>+'Segment Data'!CP35+'Segment Data'!CO35+'Segment Data'!CL35+'Segment Data'!CK35</f>
        <v>14</v>
      </c>
      <c r="BW26" s="9"/>
      <c r="BX26" s="9"/>
    </row>
    <row r="27" spans="1:76" s="154" customFormat="1">
      <c r="A27" s="154" t="s">
        <v>138</v>
      </c>
      <c r="B27" s="155"/>
      <c r="D27" s="191"/>
      <c r="F27" s="159">
        <f>SUM(F25:F26)</f>
        <v>225</v>
      </c>
      <c r="G27" s="155"/>
      <c r="H27" s="158">
        <f>SUM(H25:H26)</f>
        <v>194</v>
      </c>
      <c r="I27" s="159">
        <f>SUM(I25:I26)</f>
        <v>175</v>
      </c>
      <c r="J27" s="158">
        <f>SUM(J25:J26)</f>
        <v>178</v>
      </c>
      <c r="K27" s="159">
        <f>SUM(K25:K26)</f>
        <v>164</v>
      </c>
      <c r="M27" s="158">
        <f>SUM(M25:M26)</f>
        <v>218</v>
      </c>
      <c r="N27" s="159">
        <f>SUM(N25:N26)</f>
        <v>244</v>
      </c>
      <c r="O27" s="158">
        <f>SUM(O25:O26)</f>
        <v>296</v>
      </c>
      <c r="P27" s="159">
        <f>SUM(P25:P26)</f>
        <v>360</v>
      </c>
      <c r="R27" s="158">
        <f>SUM(R25:R26)</f>
        <v>371</v>
      </c>
      <c r="S27" s="159">
        <f>SUM(S25:S26)</f>
        <v>512</v>
      </c>
      <c r="T27" s="158">
        <f>SUM(T25:T26)</f>
        <v>513</v>
      </c>
      <c r="U27" s="159">
        <f>SUM(U25:U26)</f>
        <v>513</v>
      </c>
      <c r="W27" s="158">
        <f>SUM(W25:W26)</f>
        <v>528</v>
      </c>
      <c r="X27" s="159">
        <f>SUM(X25:X26)</f>
        <v>563</v>
      </c>
      <c r="Y27" s="158">
        <f>SUM(Y25:Y26)</f>
        <v>634</v>
      </c>
      <c r="Z27" s="159">
        <f>SUM(Z25:Z26)</f>
        <v>709</v>
      </c>
      <c r="AA27" s="158"/>
      <c r="AB27" s="158">
        <f>SUM(AB25:AB26)</f>
        <v>760</v>
      </c>
      <c r="AC27" s="159">
        <f>SUM(AC25:AC26)</f>
        <v>829</v>
      </c>
      <c r="AD27" s="158">
        <f>SUM(AD25:AD26)</f>
        <v>890</v>
      </c>
      <c r="AE27" s="159">
        <f>SUM(AE25:AE26)</f>
        <v>914</v>
      </c>
      <c r="AF27" s="158"/>
      <c r="AG27" s="158">
        <f>SUM(AG25:AG26)</f>
        <v>1094</v>
      </c>
      <c r="AH27" s="159">
        <f>SUM(AH25:AH26)</f>
        <v>1186</v>
      </c>
      <c r="AI27" s="158">
        <f>SUM(AI25:AI26)</f>
        <v>1234</v>
      </c>
      <c r="AJ27" s="159">
        <f>SUM(AJ25:AJ26)</f>
        <v>1363</v>
      </c>
      <c r="AK27" s="158"/>
      <c r="AL27" s="156">
        <f>SUM(AL25:AL26)</f>
        <v>1412</v>
      </c>
      <c r="AM27" s="159">
        <f>SUM(AM25:AM26)</f>
        <v>1476</v>
      </c>
      <c r="AN27" s="156">
        <f>SUM(AN25:AN26)</f>
        <v>1503</v>
      </c>
      <c r="AO27" s="159">
        <f>SUM(AO25:AO26)</f>
        <v>1300</v>
      </c>
      <c r="AP27" s="158"/>
      <c r="AQ27" s="156">
        <f>SUM(AQ25:AQ26)</f>
        <v>1142</v>
      </c>
      <c r="AR27" s="159">
        <f>SUM(AR25:AR26)</f>
        <v>975</v>
      </c>
      <c r="AS27" s="156">
        <f>SUM(AS25:AS26)</f>
        <v>878</v>
      </c>
      <c r="AT27" s="159">
        <f>SUM(AT25:AT26)</f>
        <v>935</v>
      </c>
      <c r="AV27" s="156">
        <f>SUM(AV25:AV26)</f>
        <v>1023</v>
      </c>
      <c r="AW27" s="159">
        <f>SUM(AW25:AW26)</f>
        <v>1011</v>
      </c>
      <c r="AX27" s="156">
        <f>SUM(AX25:AX26)</f>
        <v>1025</v>
      </c>
      <c r="AY27" s="159">
        <f>SUM(AY25:AY26)</f>
        <v>985</v>
      </c>
      <c r="BA27" s="156">
        <f>SUM(BA25:BA26)</f>
        <v>971</v>
      </c>
      <c r="BB27" s="159">
        <f>SUM(BB25:BB26)</f>
        <v>908</v>
      </c>
      <c r="BC27" s="156">
        <f>SUM(BC25:BC26)</f>
        <v>947</v>
      </c>
      <c r="BD27" s="159">
        <f>SUM(BD25:BD26)</f>
        <v>1036</v>
      </c>
      <c r="BF27" s="156">
        <f>SUM(BF25:BF26)</f>
        <v>1044</v>
      </c>
      <c r="BG27" s="159">
        <f>SUM(BG25:BG26)</f>
        <v>1065</v>
      </c>
      <c r="BH27" s="156">
        <f>SUM(BH25:BH26)</f>
        <v>1000</v>
      </c>
      <c r="BI27" s="159">
        <f>SUM(BI25:BI26)</f>
        <v>1039</v>
      </c>
      <c r="BK27" s="156">
        <f>SUM(BK25:BK26)</f>
        <v>1026</v>
      </c>
      <c r="BL27" s="159">
        <f>SUM(BL25:BL26)</f>
        <v>1068</v>
      </c>
      <c r="BM27" s="156">
        <f>SUM(BM25:BM26)</f>
        <v>1073</v>
      </c>
      <c r="BN27" s="159">
        <f>SUM(BN25:BN26)</f>
        <v>1085</v>
      </c>
      <c r="BP27" s="156">
        <f>SUM(BP25:BP26)</f>
        <v>1122</v>
      </c>
      <c r="BQ27" s="159">
        <f>SUM(BQ25:BQ26)</f>
        <v>1166</v>
      </c>
      <c r="BR27" s="156">
        <f>SUM(BR25:BR26)</f>
        <v>1180</v>
      </c>
      <c r="BS27" s="159">
        <f>SUM(BS25:BS26)</f>
        <v>1269</v>
      </c>
      <c r="BU27" s="156">
        <f>SUM(BU25:BU26)</f>
        <v>1298</v>
      </c>
      <c r="BV27" s="159">
        <f>SUM(BV25:BV26)</f>
        <v>1415</v>
      </c>
      <c r="BW27" s="156"/>
      <c r="BX27" s="156"/>
    </row>
    <row r="28" spans="1:76" s="160" customFormat="1">
      <c r="B28" s="161"/>
      <c r="D28" s="175"/>
      <c r="F28" s="175"/>
      <c r="G28" s="177"/>
      <c r="I28" s="175"/>
      <c r="K28" s="175"/>
      <c r="N28" s="175"/>
      <c r="P28" s="175"/>
      <c r="S28" s="195"/>
      <c r="T28" s="183"/>
      <c r="U28" s="195"/>
      <c r="X28" s="195"/>
      <c r="Y28" s="183"/>
      <c r="Z28" s="195"/>
      <c r="AC28" s="195"/>
      <c r="AD28" s="183"/>
      <c r="AE28" s="195"/>
      <c r="AH28" s="195"/>
      <c r="AI28" s="183"/>
      <c r="AJ28" s="195"/>
      <c r="AL28" s="161"/>
      <c r="AM28" s="195"/>
      <c r="AN28" s="184"/>
      <c r="AO28" s="195"/>
      <c r="AQ28" s="161"/>
      <c r="AR28" s="195"/>
      <c r="AS28" s="184"/>
      <c r="AT28" s="195"/>
      <c r="AV28" s="161"/>
      <c r="AW28" s="195"/>
      <c r="AX28" s="184"/>
      <c r="AY28" s="195"/>
      <c r="BA28" s="161"/>
      <c r="BB28" s="195"/>
      <c r="BC28" s="184"/>
      <c r="BD28" s="195"/>
      <c r="BF28" s="161"/>
      <c r="BG28" s="195"/>
      <c r="BH28" s="184"/>
      <c r="BI28" s="195"/>
      <c r="BK28" s="161"/>
      <c r="BL28" s="195"/>
      <c r="BM28" s="184"/>
      <c r="BN28" s="195"/>
      <c r="BP28" s="161"/>
      <c r="BQ28" s="195"/>
      <c r="BR28" s="184"/>
      <c r="BS28" s="195"/>
      <c r="BU28" s="161"/>
      <c r="BV28" s="195"/>
      <c r="BW28" s="184"/>
      <c r="BX28" s="184"/>
    </row>
    <row r="29" spans="1:76">
      <c r="D29" s="123"/>
      <c r="F29" s="123"/>
      <c r="I29" s="123"/>
      <c r="K29" s="123"/>
      <c r="N29" s="123"/>
      <c r="P29" s="123"/>
      <c r="S29" s="123"/>
      <c r="U29" s="123"/>
      <c r="X29" s="123"/>
      <c r="Z29" s="123"/>
      <c r="AC29" s="123"/>
      <c r="AE29" s="123"/>
      <c r="AH29" s="123"/>
      <c r="AJ29" s="123"/>
      <c r="AL29" s="3"/>
      <c r="AM29" s="123"/>
      <c r="AN29" s="3"/>
      <c r="AO29" s="123"/>
      <c r="AQ29" s="3"/>
      <c r="AR29" s="123"/>
      <c r="AS29" s="3"/>
      <c r="AT29" s="123"/>
      <c r="AV29" s="3"/>
      <c r="AW29" s="123"/>
      <c r="AX29" s="3"/>
      <c r="AY29" s="123"/>
      <c r="BA29" s="3"/>
      <c r="BB29" s="123"/>
      <c r="BC29" s="3"/>
      <c r="BD29" s="123"/>
      <c r="BF29" s="3"/>
      <c r="BG29" s="123"/>
      <c r="BH29" s="3"/>
      <c r="BI29" s="123"/>
      <c r="BK29" s="3"/>
      <c r="BL29" s="123"/>
      <c r="BM29" s="3"/>
      <c r="BN29" s="123"/>
      <c r="BP29" s="3"/>
      <c r="BQ29" s="123"/>
      <c r="BR29" s="3"/>
      <c r="BS29" s="123"/>
      <c r="BU29" s="3"/>
      <c r="BV29" s="123"/>
      <c r="BW29" s="3"/>
      <c r="BX29" s="3"/>
    </row>
    <row r="30" spans="1:76">
      <c r="A30" s="6" t="s">
        <v>52</v>
      </c>
      <c r="D30" s="123"/>
      <c r="F30" s="123"/>
      <c r="I30" s="123"/>
      <c r="K30" s="123"/>
      <c r="N30" s="123"/>
      <c r="P30" s="123"/>
      <c r="S30" s="123"/>
      <c r="U30" s="123"/>
      <c r="X30" s="123"/>
      <c r="Z30" s="123"/>
      <c r="AC30" s="123"/>
      <c r="AE30" s="123"/>
      <c r="AH30" s="123"/>
      <c r="AJ30" s="123"/>
      <c r="AL30" s="3"/>
      <c r="AM30" s="123"/>
      <c r="AN30" s="3"/>
      <c r="AO30" s="123"/>
      <c r="AQ30" s="3"/>
      <c r="AR30" s="123"/>
      <c r="AS30" s="3"/>
      <c r="AT30" s="123"/>
      <c r="AV30" s="3"/>
      <c r="AW30" s="123"/>
      <c r="AX30" s="3"/>
      <c r="AY30" s="123"/>
      <c r="BA30" s="3"/>
      <c r="BB30" s="123"/>
      <c r="BC30" s="3"/>
      <c r="BD30" s="123"/>
      <c r="BF30" s="3"/>
      <c r="BG30" s="123"/>
      <c r="BH30" s="3"/>
      <c r="BI30" s="123"/>
      <c r="BK30" s="3"/>
      <c r="BL30" s="123"/>
      <c r="BM30" s="3"/>
      <c r="BN30" s="123"/>
      <c r="BP30" s="3"/>
      <c r="BQ30" s="123"/>
      <c r="BR30" s="3"/>
      <c r="BS30" s="123"/>
      <c r="BU30" s="3"/>
      <c r="BV30" s="123"/>
      <c r="BW30" s="3"/>
      <c r="BX30" s="3"/>
    </row>
    <row r="31" spans="1:76">
      <c r="A31" s="2" t="s">
        <v>211</v>
      </c>
      <c r="D31" s="123"/>
      <c r="F31" s="194">
        <f>F14/F27</f>
        <v>12.045177777777777</v>
      </c>
      <c r="H31" s="54">
        <f>H14/H27</f>
        <v>12.977293814432988</v>
      </c>
      <c r="I31" s="194">
        <f>I14/I27</f>
        <v>13.151914285714286</v>
      </c>
      <c r="J31" s="54">
        <f>J14/J27</f>
        <v>8.2222303370786509</v>
      </c>
      <c r="K31" s="194">
        <f>K14/K27</f>
        <v>9.3967926829268293</v>
      </c>
      <c r="M31" s="54">
        <f>M14/M27</f>
        <v>7.6608990825688075</v>
      </c>
      <c r="N31" s="194">
        <f>N14/N27</f>
        <v>8.9225000000000012</v>
      </c>
      <c r="O31" s="54">
        <f>O14/O27</f>
        <v>8.43616891891892</v>
      </c>
      <c r="P31" s="194">
        <f>P14/P27</f>
        <v>6.5641888888888893</v>
      </c>
      <c r="R31" s="54">
        <f>R14/R27</f>
        <v>7.6064690026954178</v>
      </c>
      <c r="S31" s="194">
        <f>S14/S27</f>
        <v>8.0947265625</v>
      </c>
      <c r="T31" s="54">
        <f>T14/T27</f>
        <v>8.0730994152046787</v>
      </c>
      <c r="U31" s="194">
        <f>U14/U27</f>
        <v>8.5175438596491233</v>
      </c>
      <c r="W31" s="54">
        <f>W14/W27</f>
        <v>9.9356060606060606</v>
      </c>
      <c r="X31" s="194">
        <f>X14/X27</f>
        <v>11.063055062166963</v>
      </c>
      <c r="Y31" s="54">
        <f>Y14/Y27</f>
        <v>11.12064668769716</v>
      </c>
      <c r="Z31" s="194">
        <f>Z14/Z27</f>
        <v>10.735056417489421</v>
      </c>
      <c r="AB31" s="54">
        <f>AB14/AB27</f>
        <v>13.606125</v>
      </c>
      <c r="AC31" s="194">
        <f>AC14/AC27</f>
        <v>11.899218335343788</v>
      </c>
      <c r="AD31" s="54">
        <f>AD14/AD27</f>
        <v>12.960139325842697</v>
      </c>
      <c r="AE31" s="194">
        <f>AE14/AE27</f>
        <v>14.029831509846828</v>
      </c>
      <c r="AG31" s="54">
        <f>AG14/AG27</f>
        <v>11.426010968921389</v>
      </c>
      <c r="AH31" s="194">
        <f>AH14/AH27</f>
        <v>12.862091062394605</v>
      </c>
      <c r="AI31" s="54">
        <f>AI14/AI27</f>
        <v>13.080356564019448</v>
      </c>
      <c r="AJ31" s="194">
        <f>AJ14/AJ27</f>
        <v>9.4248275862068969</v>
      </c>
      <c r="AL31" s="55">
        <f>AL14/AL27</f>
        <v>7.2734985835694053</v>
      </c>
      <c r="AM31" s="194">
        <f>AM14/AM27</f>
        <v>8.0766395663956647</v>
      </c>
      <c r="AN31" s="55">
        <f>AN14/AN27</f>
        <v>5.7610113107119094</v>
      </c>
      <c r="AO31" s="194">
        <f>AO14/AO27</f>
        <v>3.6952615384615384</v>
      </c>
      <c r="AQ31" s="55">
        <f>AQ14/AQ27</f>
        <v>4.0353590192644484</v>
      </c>
      <c r="AR31" s="194">
        <f>AR14/AR27</f>
        <v>7.0229230769230764</v>
      </c>
      <c r="AS31" s="55">
        <f>AS14/AS27</f>
        <v>11.096902050113895</v>
      </c>
      <c r="AT31" s="194">
        <f>AT14/AT27</f>
        <v>10.294374331550802</v>
      </c>
      <c r="AV31" s="55">
        <f>AV14/AV27</f>
        <v>10.388484848484849</v>
      </c>
      <c r="AW31" s="194">
        <f>AW14/AW27</f>
        <v>10.184089020771513</v>
      </c>
      <c r="AX31" s="55">
        <f>AX14/AX27</f>
        <v>10.282409756097563</v>
      </c>
      <c r="AY31" s="194">
        <f>AY14/AY27</f>
        <v>11.308951269035532</v>
      </c>
      <c r="BA31" s="55">
        <f>BA14/BA27</f>
        <v>12.499599573635427</v>
      </c>
      <c r="BB31" s="194">
        <f>BB14/BB27</f>
        <v>14.020178707048457</v>
      </c>
      <c r="BC31" s="55">
        <f>BC14/BC27</f>
        <v>10.091269174234423</v>
      </c>
      <c r="BD31" s="194">
        <f>BD14/BD27</f>
        <v>8.6439824459459462</v>
      </c>
      <c r="BF31" s="55">
        <f>BF14/BF27</f>
        <v>10.100465565134101</v>
      </c>
      <c r="BG31" s="194">
        <f>BG14/BG27</f>
        <v>6.7813051643192486</v>
      </c>
      <c r="BH31" s="55">
        <f>BH14/BH27</f>
        <v>7.5678220000000005</v>
      </c>
      <c r="BI31" s="194">
        <f>BI14/BI27</f>
        <v>6.5191953801732438</v>
      </c>
      <c r="BK31" s="55">
        <f>BK14/BK27</f>
        <v>7.7351345029239766</v>
      </c>
      <c r="BL31" s="194">
        <f>BL14/BL27</f>
        <v>7.3103220973782772</v>
      </c>
      <c r="BM31" s="55">
        <f>BM14/BM27</f>
        <v>8.6633010251630935</v>
      </c>
      <c r="BN31" s="194">
        <f>BN14/BN27</f>
        <v>7.8438746543778795</v>
      </c>
      <c r="BP31" s="55">
        <f>BP14/BP27</f>
        <v>8.4635454545454554</v>
      </c>
      <c r="BQ31" s="194">
        <f>BQ14/BQ27</f>
        <v>9.379518010291596</v>
      </c>
      <c r="BR31" s="55">
        <f>BR14/BR27</f>
        <v>8.3716313559322035</v>
      </c>
      <c r="BS31" s="194">
        <f>BS14/BS27</f>
        <v>7.1406808510638307</v>
      </c>
      <c r="BU31" s="55">
        <f>BU14/BU27</f>
        <v>9.2892950693374416</v>
      </c>
      <c r="BV31" s="194">
        <f>BV14/BV27</f>
        <v>7.5638558303886922</v>
      </c>
      <c r="BW31" s="55"/>
      <c r="BX31" s="55"/>
    </row>
    <row r="32" spans="1:76">
      <c r="A32" s="2" t="s">
        <v>212</v>
      </c>
      <c r="D32" s="123"/>
      <c r="F32" s="194">
        <f>F14/F25</f>
        <v>9.0338833333333337</v>
      </c>
      <c r="H32" s="54">
        <f>H14/H25</f>
        <v>8.7114013840830449</v>
      </c>
      <c r="I32" s="194">
        <f>I14/I25</f>
        <v>7.8821404109589039</v>
      </c>
      <c r="J32" s="54">
        <f>J14/J25</f>
        <v>4.7518084415584418</v>
      </c>
      <c r="K32" s="194">
        <f>K14/K25</f>
        <v>4.90787898089172</v>
      </c>
      <c r="M32" s="54">
        <f>M14/M25</f>
        <v>4.6650167597765364</v>
      </c>
      <c r="N32" s="194">
        <f>N14/N25</f>
        <v>5.9483333333333341</v>
      </c>
      <c r="O32" s="54">
        <f>O14/O25</f>
        <v>6.0609368932038841</v>
      </c>
      <c r="P32" s="194">
        <f>P14/P25</f>
        <v>5.3103550561797759</v>
      </c>
      <c r="R32" s="54">
        <f>R14/R25</f>
        <v>6.2572062084257203</v>
      </c>
      <c r="S32" s="194">
        <f>S14/S25</f>
        <v>7.0126903553299496</v>
      </c>
      <c r="T32" s="54">
        <f>T14/T25</f>
        <v>7.0674061433447095</v>
      </c>
      <c r="U32" s="194">
        <f>U14/U25</f>
        <v>7.4437819420783642</v>
      </c>
      <c r="W32" s="54">
        <f>W14/W25</f>
        <v>9.0137457044673539</v>
      </c>
      <c r="X32" s="194">
        <f>X14/X25</f>
        <v>10.329187396351575</v>
      </c>
      <c r="Y32" s="54">
        <f>Y14/Y25</f>
        <v>10.747698170731708</v>
      </c>
      <c r="Z32" s="194">
        <f>Z14/Z25</f>
        <v>10.615278940027894</v>
      </c>
      <c r="AB32" s="54">
        <f>AB14/AB25</f>
        <v>13.377302716688229</v>
      </c>
      <c r="AC32" s="194">
        <f>AC14/AC25</f>
        <v>11.687739336492891</v>
      </c>
      <c r="AD32" s="54">
        <f>AD14/AD25</f>
        <v>12.661387486278814</v>
      </c>
      <c r="AE32" s="194">
        <f>AE14/AE25</f>
        <v>13.758869098712445</v>
      </c>
      <c r="AG32" s="54">
        <f>AG14/AG25</f>
        <v>11.200767025089606</v>
      </c>
      <c r="AH32" s="194">
        <f>AH14/AH25</f>
        <v>12.669800664451827</v>
      </c>
      <c r="AI32" s="54">
        <f>AI14/AI25</f>
        <v>12.933621794871796</v>
      </c>
      <c r="AJ32" s="194">
        <f>AJ14/AJ25</f>
        <v>9.3019840695148446</v>
      </c>
      <c r="AL32" s="55">
        <f>AL14/AL25</f>
        <v>7.1619107391910743</v>
      </c>
      <c r="AM32" s="194">
        <f>AM14/AM25</f>
        <v>7.968663101604279</v>
      </c>
      <c r="AN32" s="55">
        <f>AN14/AN25</f>
        <v>5.6779016393442614</v>
      </c>
      <c r="AO32" s="194">
        <f>AO14/AO25</f>
        <v>3.6119097744360902</v>
      </c>
      <c r="AQ32" s="55">
        <f>AQ14/AQ25</f>
        <v>3.9489117395029991</v>
      </c>
      <c r="AR32" s="194">
        <f>AR14/AR25</f>
        <v>6.7661561264822128</v>
      </c>
      <c r="AS32" s="55">
        <f>AS14/AS25</f>
        <v>10.60182807399347</v>
      </c>
      <c r="AT32" s="194">
        <f>AT14/AT25</f>
        <v>9.9640165631469984</v>
      </c>
      <c r="AV32" s="55">
        <f>AV14/AV25</f>
        <v>10.102110266159697</v>
      </c>
      <c r="AW32" s="194">
        <f>AW14/AW25</f>
        <v>9.9671965150048401</v>
      </c>
      <c r="AX32" s="55">
        <f>AX14/AX25</f>
        <v>10.13410576923077</v>
      </c>
      <c r="AY32" s="194">
        <f>AY14/AY25</f>
        <v>11.184053212851405</v>
      </c>
      <c r="BA32" s="55">
        <f>BA14/BA25</f>
        <v>12.334462587398374</v>
      </c>
      <c r="BB32" s="194">
        <f>BB14/BB25</f>
        <v>13.882576080697927</v>
      </c>
      <c r="BC32" s="55">
        <f>BC14/BC25</f>
        <v>10.048824298633017</v>
      </c>
      <c r="BD32" s="194">
        <f>BD14/BD25</f>
        <v>8.6523341198067634</v>
      </c>
      <c r="BF32" s="55">
        <f>BF14/BF25</f>
        <v>10.178461438223939</v>
      </c>
      <c r="BG32" s="194">
        <f>BG14/BG25</f>
        <v>6.813292452830189</v>
      </c>
      <c r="BH32" s="55">
        <f>BH14/BH25</f>
        <v>7.5753973973973974</v>
      </c>
      <c r="BI32" s="194">
        <f>BI14/BI25</f>
        <v>6.5761592233009711</v>
      </c>
      <c r="BK32" s="55">
        <f>BK14/BK25</f>
        <v>7.7730146914789415</v>
      </c>
      <c r="BL32" s="194">
        <f>BL14/BL25</f>
        <v>7.3654943396226411</v>
      </c>
      <c r="BM32" s="55">
        <f>BM14/BM25</f>
        <v>8.7530338983050839</v>
      </c>
      <c r="BN32" s="194">
        <f>BN14/BN25</f>
        <v>7.8874921223354955</v>
      </c>
      <c r="BP32" s="55">
        <f>BP14/BP25</f>
        <v>8.5473429342934288</v>
      </c>
      <c r="BQ32" s="194">
        <f>BQ14/BQ25</f>
        <v>9.4606557093425607</v>
      </c>
      <c r="BR32" s="55">
        <f>BR14/BR25</f>
        <v>8.4359735269000851</v>
      </c>
      <c r="BS32" s="194">
        <f>BS14/BS25</f>
        <v>7.2608365384615396</v>
      </c>
      <c r="BU32" s="55">
        <f>BU14/BU25</f>
        <v>9.4346674491392797</v>
      </c>
      <c r="BV32" s="194">
        <f>BV14/BV25</f>
        <v>7.6394403997144895</v>
      </c>
      <c r="BW32" s="55"/>
      <c r="BX32" s="55"/>
    </row>
    <row r="33" spans="1:76">
      <c r="D33" s="123"/>
      <c r="F33" s="123"/>
      <c r="I33" s="123"/>
      <c r="K33" s="123"/>
      <c r="N33" s="123"/>
      <c r="P33" s="123"/>
      <c r="S33" s="123"/>
      <c r="U33" s="123"/>
      <c r="X33" s="123"/>
      <c r="Z33" s="123"/>
      <c r="AC33" s="123"/>
      <c r="AE33" s="123"/>
      <c r="AH33" s="123"/>
      <c r="AJ33" s="123"/>
      <c r="AL33" s="3"/>
      <c r="AM33" s="123"/>
      <c r="AN33" s="3"/>
      <c r="AO33" s="123"/>
      <c r="AQ33" s="3"/>
      <c r="AR33" s="123"/>
      <c r="AS33" s="3"/>
      <c r="AT33" s="123"/>
      <c r="AV33" s="3"/>
      <c r="AW33" s="123"/>
      <c r="AX33" s="3"/>
      <c r="AY33" s="123"/>
      <c r="BA33" s="3"/>
      <c r="BB33" s="123"/>
      <c r="BC33" s="3"/>
      <c r="BD33" s="123"/>
      <c r="BF33" s="3"/>
      <c r="BG33" s="123"/>
      <c r="BH33" s="3"/>
      <c r="BI33" s="123"/>
      <c r="BK33" s="3"/>
      <c r="BL33" s="123"/>
      <c r="BM33" s="3"/>
      <c r="BN33" s="123"/>
      <c r="BP33" s="3"/>
      <c r="BQ33" s="123"/>
      <c r="BR33" s="3"/>
      <c r="BS33" s="123"/>
      <c r="BU33" s="3"/>
      <c r="BV33" s="123"/>
      <c r="BW33" s="3"/>
      <c r="BX33" s="3"/>
    </row>
    <row r="34" spans="1:76">
      <c r="A34" s="6" t="s">
        <v>62</v>
      </c>
      <c r="D34" s="123"/>
      <c r="F34" s="123"/>
      <c r="I34" s="123"/>
      <c r="K34" s="123"/>
      <c r="N34" s="123"/>
      <c r="P34" s="123"/>
      <c r="S34" s="123"/>
      <c r="U34" s="123"/>
      <c r="X34" s="123"/>
      <c r="Z34" s="123"/>
      <c r="AC34" s="123"/>
      <c r="AE34" s="123"/>
      <c r="AH34" s="123"/>
      <c r="AJ34" s="123"/>
      <c r="AL34" s="3"/>
      <c r="AM34" s="123"/>
      <c r="AN34" s="3"/>
      <c r="AO34" s="123"/>
      <c r="AQ34" s="3"/>
      <c r="AR34" s="123"/>
      <c r="AS34" s="3"/>
      <c r="AT34" s="123"/>
      <c r="AV34" s="3"/>
      <c r="AW34" s="123"/>
      <c r="AX34" s="3"/>
      <c r="AY34" s="123"/>
      <c r="BA34" s="3"/>
      <c r="BB34" s="123"/>
      <c r="BC34" s="3"/>
      <c r="BD34" s="123"/>
      <c r="BF34" s="3"/>
      <c r="BG34" s="123"/>
      <c r="BH34" s="3"/>
      <c r="BI34" s="123"/>
      <c r="BK34" s="3"/>
      <c r="BL34" s="123"/>
      <c r="BM34" s="3"/>
      <c r="BN34" s="123"/>
      <c r="BP34" s="3"/>
      <c r="BQ34" s="123"/>
      <c r="BR34" s="3"/>
      <c r="BS34" s="123"/>
      <c r="BU34" s="3"/>
      <c r="BV34" s="123"/>
      <c r="BW34" s="3"/>
      <c r="BX34" s="3"/>
    </row>
    <row r="35" spans="1:76" ht="13.5" thickBot="1">
      <c r="A35" s="2" t="s">
        <v>136</v>
      </c>
      <c r="D35" s="123"/>
      <c r="F35" s="123"/>
      <c r="I35" s="123"/>
      <c r="K35" s="123"/>
      <c r="N35" s="123"/>
      <c r="P35" s="123"/>
      <c r="S35" s="123"/>
      <c r="U35" s="123"/>
      <c r="X35" s="123"/>
      <c r="Z35" s="123"/>
      <c r="AC35" s="123"/>
      <c r="AE35" s="123"/>
      <c r="AG35" s="54">
        <f>AG13/AG23</f>
        <v>1.8162705667276051</v>
      </c>
      <c r="AH35" s="194">
        <f>AH13/AH23</f>
        <v>1.93929173693086</v>
      </c>
      <c r="AI35" s="54">
        <f>AI13/AI23</f>
        <v>1.8687196110210698</v>
      </c>
      <c r="AJ35" s="194">
        <f>AJ13/AJ23</f>
        <v>1.4636830520909758</v>
      </c>
      <c r="AL35" s="55">
        <f>AL13/AL23</f>
        <v>1.5686968838526911</v>
      </c>
      <c r="AM35" s="194">
        <f>AM13/AM23</f>
        <v>1.9139566395663956</v>
      </c>
      <c r="AN35" s="55">
        <f>AN13/AN23</f>
        <v>1.8769128409846974</v>
      </c>
      <c r="AO35" s="194">
        <f>AO13/AO23</f>
        <v>1.7384615384615385</v>
      </c>
      <c r="AQ35" s="55">
        <f>AQ13/AQ23</f>
        <v>1.9993870402802103</v>
      </c>
      <c r="AR35" s="194">
        <f>AR13/AR23</f>
        <v>2.6536410256410257</v>
      </c>
      <c r="AS35" s="55">
        <f>AS13/AS23</f>
        <v>3.0535307517084282</v>
      </c>
      <c r="AT35" s="194">
        <f>AT13/AT23</f>
        <v>2.9144385026737969</v>
      </c>
      <c r="AV35" s="55">
        <f>AV13/AV23</f>
        <v>3.3176930596285437</v>
      </c>
      <c r="AW35" s="194">
        <f>AW13/AW23</f>
        <v>3.7487636003956477</v>
      </c>
      <c r="AX35" s="55">
        <f>AX13/AX23</f>
        <v>4.0429268292682927</v>
      </c>
      <c r="AY35" s="194">
        <f>AY13/AY23</f>
        <v>4.1675126903553297</v>
      </c>
      <c r="BA35" s="55">
        <f>BA13/BA23</f>
        <v>4.9649845520082385</v>
      </c>
      <c r="BB35" s="194">
        <f>BB13/BB23</f>
        <v>5.4405286343612334</v>
      </c>
      <c r="BC35" s="55">
        <f>BC13/BC23</f>
        <v>5.0380147835269273</v>
      </c>
      <c r="BD35" s="194">
        <f>BD13/BD23</f>
        <v>4.2750965250965249</v>
      </c>
      <c r="BF35" s="55">
        <f>BF13/BF23</f>
        <v>4.3017241379310347</v>
      </c>
      <c r="BG35" s="194">
        <f>BG13/BG23</f>
        <v>2.5276995305164318</v>
      </c>
      <c r="BH35" s="55">
        <f>BH13/BH23</f>
        <v>2.7509999999999999</v>
      </c>
      <c r="BI35" s="194">
        <f>BI13/BI23</f>
        <v>1.8373435996150145</v>
      </c>
      <c r="BK35" s="55">
        <f>BK13/BK23</f>
        <v>2.7056530214424952</v>
      </c>
      <c r="BL35" s="194">
        <f>BL13/BL23</f>
        <v>2.6582397003745317</v>
      </c>
      <c r="BM35" s="55">
        <f>BM13/BM23</f>
        <v>2.565703634669152</v>
      </c>
      <c r="BN35" s="194">
        <f>BN13/BN23</f>
        <v>1.9456221198156682</v>
      </c>
      <c r="BP35" s="55">
        <f>BP13/BP23</f>
        <v>1.7816399286987523</v>
      </c>
      <c r="BQ35" s="194">
        <f>BQ13/BQ23</f>
        <v>1.7221269296740995</v>
      </c>
      <c r="BR35" s="55">
        <f>BR13/BR23</f>
        <v>1.7957627118644068</v>
      </c>
      <c r="BS35" s="194">
        <f>BS13/BS23</f>
        <v>0.89440504334121351</v>
      </c>
      <c r="BU35" s="55">
        <f>BU13/BU23</f>
        <v>1.0184899845916795</v>
      </c>
      <c r="BV35" s="194">
        <f>BV13/BV23</f>
        <v>1.0162544169611307</v>
      </c>
      <c r="BW35" s="55"/>
      <c r="BX35" s="55"/>
    </row>
    <row r="36" spans="1:76" s="138" customFormat="1">
      <c r="B36" s="139"/>
      <c r="G36" s="141"/>
      <c r="AL36" s="139"/>
      <c r="AM36" s="139"/>
      <c r="AN36" s="139"/>
      <c r="AO36" s="139"/>
      <c r="AQ36" s="139"/>
      <c r="AR36" s="139"/>
      <c r="AS36" s="139"/>
      <c r="AT36" s="139"/>
      <c r="AV36" s="139"/>
      <c r="AW36" s="139"/>
      <c r="AX36" s="139"/>
      <c r="AY36" s="139"/>
    </row>
    <row r="37" spans="1:76">
      <c r="AL37" s="3"/>
      <c r="AM37" s="3"/>
      <c r="AN37" s="3"/>
      <c r="AO37" s="3"/>
      <c r="AQ37" s="3"/>
      <c r="AR37" s="3"/>
      <c r="AS37" s="3"/>
      <c r="AT37" s="3"/>
      <c r="AV37" s="3"/>
      <c r="AW37" s="3"/>
      <c r="AX37" s="3"/>
      <c r="AY37" s="3"/>
    </row>
    <row r="39" spans="1:76">
      <c r="AL39" s="56"/>
    </row>
    <row r="40" spans="1:76">
      <c r="AL40" s="56"/>
    </row>
    <row r="42" spans="1:76">
      <c r="AL42" s="57"/>
    </row>
    <row r="43" spans="1:76">
      <c r="AL43" s="57"/>
    </row>
  </sheetData>
  <mergeCells count="30">
    <mergeCell ref="AG2:AJ2"/>
    <mergeCell ref="AL2:AO2"/>
    <mergeCell ref="BP1:BS1"/>
    <mergeCell ref="BP2:BS2"/>
    <mergeCell ref="AQ1:AT1"/>
    <mergeCell ref="AQ2:AT2"/>
    <mergeCell ref="BF1:BI1"/>
    <mergeCell ref="BF2:BI2"/>
    <mergeCell ref="AV1:AY1"/>
    <mergeCell ref="AV2:AY2"/>
    <mergeCell ref="BK1:BN1"/>
    <mergeCell ref="BK2:BN2"/>
    <mergeCell ref="BA1:BD1"/>
    <mergeCell ref="BA2:BD2"/>
    <mergeCell ref="BU1:BX1"/>
    <mergeCell ref="BU2:BX2"/>
    <mergeCell ref="C1:F1"/>
    <mergeCell ref="R2:U2"/>
    <mergeCell ref="AL1:AO1"/>
    <mergeCell ref="AB1:AE1"/>
    <mergeCell ref="C2:F2"/>
    <mergeCell ref="H2:K2"/>
    <mergeCell ref="M2:P2"/>
    <mergeCell ref="H1:K1"/>
    <mergeCell ref="AB2:AE2"/>
    <mergeCell ref="AG1:AJ1"/>
    <mergeCell ref="M1:P1"/>
    <mergeCell ref="R1:U1"/>
    <mergeCell ref="W1:Z1"/>
    <mergeCell ref="W2:Z2"/>
  </mergeCells>
  <phoneticPr fontId="0" type="noConversion"/>
  <pageMargins left="0.23622047244094491" right="0.23622047244094491" top="0.43307086614173229" bottom="0.31496062992125984" header="0.31496062992125984" footer="0.27559055118110237"/>
  <pageSetup paperSize="9" scale="7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0"/>
  <sheetViews>
    <sheetView showGridLines="0" zoomScaleNormal="100" zoomScaleSheetLayoutView="90" workbookViewId="0">
      <pane xSplit="1" ySplit="3" topLeftCell="AX4" activePane="bottomRight" state="frozen"/>
      <selection activeCell="C28" sqref="C28"/>
      <selection pane="topRight" activeCell="C28" sqref="C28"/>
      <selection pane="bottomLeft" activeCell="C28" sqref="C28"/>
      <selection pane="bottomRight" activeCell="C28" sqref="C28"/>
    </sheetView>
  </sheetViews>
  <sheetFormatPr defaultColWidth="9.140625" defaultRowHeight="12.75"/>
  <cols>
    <col min="1" max="1" width="39" style="58" customWidth="1"/>
    <col min="2" max="5" width="8.7109375" style="58" customWidth="1"/>
    <col min="6" max="6" width="4.7109375" style="58" customWidth="1"/>
    <col min="7" max="10" width="8.7109375" style="58" customWidth="1"/>
    <col min="11" max="11" width="4.7109375" style="58" customWidth="1"/>
    <col min="12" max="15" width="8.7109375" style="58" customWidth="1"/>
    <col min="16" max="16" width="4.7109375" style="58" customWidth="1"/>
    <col min="17" max="20" width="8.7109375" style="58" customWidth="1"/>
    <col min="21" max="21" width="4.7109375" style="58" customWidth="1"/>
    <col min="22" max="25" width="8.7109375" style="58" customWidth="1"/>
    <col min="26" max="26" width="4.7109375" style="58" customWidth="1"/>
    <col min="27" max="30" width="8.7109375" style="58" customWidth="1"/>
    <col min="31" max="31" width="4.7109375" style="58" customWidth="1"/>
    <col min="32" max="35" width="8.7109375" style="58" customWidth="1"/>
    <col min="36" max="36" width="4.7109375" style="58" customWidth="1"/>
    <col min="37" max="40" width="8.7109375" style="58" customWidth="1"/>
    <col min="41" max="41" width="4.7109375" style="58" customWidth="1"/>
    <col min="42" max="45" width="8.7109375" style="58" customWidth="1"/>
    <col min="46" max="46" width="4.7109375" style="58" customWidth="1"/>
    <col min="47" max="50" width="8.7109375" style="58" customWidth="1"/>
    <col min="51" max="51" width="4.7109375" style="58" customWidth="1"/>
    <col min="52" max="55" width="8.7109375" style="58" customWidth="1"/>
    <col min="56" max="56" width="4.7109375" style="58" customWidth="1"/>
    <col min="57" max="60" width="8.7109375" style="58" customWidth="1"/>
    <col min="61" max="61" width="4.7109375" style="58" customWidth="1"/>
    <col min="62" max="65" width="8.7109375" style="58" customWidth="1"/>
    <col min="66" max="66" width="4.7109375" style="58" customWidth="1"/>
    <col min="67" max="70" width="8.7109375" style="58" customWidth="1"/>
    <col min="71" max="71" width="4.7109375" style="58" customWidth="1"/>
    <col min="72" max="16384" width="9.140625" style="58"/>
  </cols>
  <sheetData>
    <row r="1" spans="1:70">
      <c r="Q1" s="172" t="s">
        <v>104</v>
      </c>
    </row>
    <row r="2" spans="1:70" s="172" customFormat="1">
      <c r="B2" s="210">
        <v>2002</v>
      </c>
      <c r="C2" s="210"/>
      <c r="D2" s="210"/>
      <c r="E2" s="210"/>
      <c r="G2" s="210">
        <v>2003</v>
      </c>
      <c r="H2" s="210"/>
      <c r="I2" s="210"/>
      <c r="J2" s="210"/>
      <c r="L2" s="210">
        <v>2004</v>
      </c>
      <c r="M2" s="210"/>
      <c r="N2" s="210"/>
      <c r="O2" s="210"/>
      <c r="Q2" s="210">
        <v>2005</v>
      </c>
      <c r="R2" s="210"/>
      <c r="S2" s="210"/>
      <c r="T2" s="210"/>
      <c r="V2" s="210">
        <v>2006</v>
      </c>
      <c r="W2" s="210"/>
      <c r="X2" s="210"/>
      <c r="Y2" s="210"/>
      <c r="AA2" s="210">
        <v>2007</v>
      </c>
      <c r="AB2" s="210"/>
      <c r="AC2" s="210"/>
      <c r="AD2" s="210"/>
      <c r="AF2" s="210">
        <v>2008</v>
      </c>
      <c r="AG2" s="210"/>
      <c r="AH2" s="210"/>
      <c r="AI2" s="210"/>
      <c r="AK2" s="210">
        <v>2009</v>
      </c>
      <c r="AL2" s="210"/>
      <c r="AM2" s="210"/>
      <c r="AN2" s="210"/>
      <c r="AP2" s="210">
        <v>2010</v>
      </c>
      <c r="AQ2" s="210"/>
      <c r="AR2" s="210"/>
      <c r="AS2" s="210"/>
      <c r="AU2" s="210">
        <v>2011</v>
      </c>
      <c r="AV2" s="210"/>
      <c r="AW2" s="210"/>
      <c r="AX2" s="210"/>
      <c r="AZ2" s="210">
        <v>2012</v>
      </c>
      <c r="BA2" s="210"/>
      <c r="BB2" s="210"/>
      <c r="BC2" s="210"/>
      <c r="BE2" s="210">
        <v>2013</v>
      </c>
      <c r="BF2" s="210"/>
      <c r="BG2" s="210"/>
      <c r="BH2" s="210"/>
      <c r="BJ2" s="210">
        <v>2014</v>
      </c>
      <c r="BK2" s="210"/>
      <c r="BL2" s="210"/>
      <c r="BM2" s="210"/>
      <c r="BO2" s="210">
        <v>2015</v>
      </c>
      <c r="BP2" s="210"/>
      <c r="BQ2" s="210"/>
      <c r="BR2" s="210"/>
    </row>
    <row r="3" spans="1:70" s="205" customFormat="1" ht="13.5" thickBot="1">
      <c r="A3" s="203" t="s">
        <v>218</v>
      </c>
      <c r="B3" s="204" t="s">
        <v>65</v>
      </c>
      <c r="C3" s="204" t="s">
        <v>66</v>
      </c>
      <c r="D3" s="204" t="s">
        <v>67</v>
      </c>
      <c r="E3" s="204" t="s">
        <v>68</v>
      </c>
      <c r="F3" s="204"/>
      <c r="G3" s="204" t="s">
        <v>69</v>
      </c>
      <c r="H3" s="204" t="s">
        <v>70</v>
      </c>
      <c r="I3" s="204" t="s">
        <v>71</v>
      </c>
      <c r="J3" s="204" t="s">
        <v>72</v>
      </c>
      <c r="K3" s="204"/>
      <c r="L3" s="204" t="s">
        <v>73</v>
      </c>
      <c r="M3" s="204" t="s">
        <v>74</v>
      </c>
      <c r="N3" s="204" t="s">
        <v>75</v>
      </c>
      <c r="O3" s="204" t="s">
        <v>76</v>
      </c>
      <c r="P3" s="204"/>
      <c r="Q3" s="204" t="s">
        <v>77</v>
      </c>
      <c r="R3" s="204" t="s">
        <v>80</v>
      </c>
      <c r="S3" s="204" t="s">
        <v>81</v>
      </c>
      <c r="T3" s="204" t="s">
        <v>83</v>
      </c>
      <c r="U3" s="204"/>
      <c r="V3" s="204" t="s">
        <v>84</v>
      </c>
      <c r="W3" s="204" t="s">
        <v>78</v>
      </c>
      <c r="X3" s="204" t="s">
        <v>85</v>
      </c>
      <c r="Y3" s="204" t="s">
        <v>82</v>
      </c>
      <c r="Z3" s="204"/>
      <c r="AA3" s="204" t="s">
        <v>86</v>
      </c>
      <c r="AB3" s="204" t="s">
        <v>87</v>
      </c>
      <c r="AC3" s="204" t="s">
        <v>79</v>
      </c>
      <c r="AD3" s="204" t="s">
        <v>93</v>
      </c>
      <c r="AE3" s="204"/>
      <c r="AF3" s="204" t="s">
        <v>95</v>
      </c>
      <c r="AG3" s="204" t="s">
        <v>97</v>
      </c>
      <c r="AH3" s="204" t="s">
        <v>99</v>
      </c>
      <c r="AI3" s="204" t="s">
        <v>102</v>
      </c>
      <c r="AJ3" s="204"/>
      <c r="AK3" s="204" t="s">
        <v>132</v>
      </c>
      <c r="AL3" s="204" t="s">
        <v>133</v>
      </c>
      <c r="AM3" s="204" t="s">
        <v>134</v>
      </c>
      <c r="AN3" s="204" t="s">
        <v>139</v>
      </c>
      <c r="AO3" s="204"/>
      <c r="AP3" s="204" t="s">
        <v>142</v>
      </c>
      <c r="AQ3" s="204" t="s">
        <v>143</v>
      </c>
      <c r="AR3" s="204" t="s">
        <v>144</v>
      </c>
      <c r="AS3" s="204" t="s">
        <v>146</v>
      </c>
      <c r="AT3" s="204"/>
      <c r="AU3" s="204" t="s">
        <v>147</v>
      </c>
      <c r="AV3" s="204" t="s">
        <v>149</v>
      </c>
      <c r="AW3" s="204" t="s">
        <v>153</v>
      </c>
      <c r="AX3" s="204" t="s">
        <v>154</v>
      </c>
      <c r="AY3" s="204"/>
      <c r="AZ3" s="204" t="s">
        <v>157</v>
      </c>
      <c r="BA3" s="204" t="s">
        <v>158</v>
      </c>
      <c r="BB3" s="204" t="s">
        <v>159</v>
      </c>
      <c r="BC3" s="204" t="s">
        <v>160</v>
      </c>
      <c r="BE3" s="204" t="s">
        <v>167</v>
      </c>
      <c r="BF3" s="204" t="s">
        <v>168</v>
      </c>
      <c r="BG3" s="204" t="s">
        <v>169</v>
      </c>
      <c r="BH3" s="204" t="s">
        <v>170</v>
      </c>
      <c r="BJ3" s="204" t="s">
        <v>171</v>
      </c>
      <c r="BK3" s="204" t="s">
        <v>172</v>
      </c>
      <c r="BL3" s="204" t="s">
        <v>173</v>
      </c>
      <c r="BM3" s="204" t="s">
        <v>177</v>
      </c>
      <c r="BO3" s="204" t="s">
        <v>193</v>
      </c>
      <c r="BP3" s="204" t="s">
        <v>219</v>
      </c>
    </row>
    <row r="4" spans="1:70" s="202" customFormat="1" ht="13.5" thickTop="1">
      <c r="A4" s="200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E4" s="201"/>
      <c r="BF4" s="201"/>
      <c r="BG4" s="201"/>
      <c r="BH4" s="201"/>
      <c r="BJ4" s="201"/>
      <c r="BK4" s="201"/>
      <c r="BL4" s="201"/>
      <c r="BM4" s="201"/>
      <c r="BO4" s="201"/>
    </row>
    <row r="5" spans="1:70" s="197" customFormat="1" ht="12.95" customHeight="1">
      <c r="A5" s="197" t="s">
        <v>213</v>
      </c>
      <c r="B5" s="198"/>
      <c r="C5" s="198"/>
      <c r="D5" s="198"/>
      <c r="E5" s="198"/>
      <c r="G5" s="198"/>
      <c r="H5" s="198"/>
      <c r="I5" s="198"/>
      <c r="J5" s="198"/>
      <c r="L5" s="198"/>
      <c r="M5" s="198"/>
      <c r="N5" s="198"/>
      <c r="O5" s="198"/>
      <c r="Q5" s="198"/>
      <c r="R5" s="198"/>
      <c r="S5" s="198"/>
      <c r="T5" s="198"/>
      <c r="V5" s="198"/>
      <c r="W5" s="198"/>
      <c r="X5" s="198"/>
      <c r="Y5" s="198"/>
      <c r="AA5" s="198"/>
      <c r="AB5" s="198"/>
      <c r="AC5" s="198"/>
      <c r="AD5" s="198"/>
      <c r="AF5" s="198">
        <f>+AF11-AF12</f>
        <v>1260</v>
      </c>
      <c r="AG5" s="198">
        <f>+AG11-AG12</f>
        <v>1268</v>
      </c>
      <c r="AH5" s="198">
        <f>+AH11-AH12</f>
        <v>1240</v>
      </c>
      <c r="AI5" s="198">
        <f>+AI11-AI12</f>
        <v>1078</v>
      </c>
      <c r="AJ5" s="199"/>
      <c r="AK5" s="198">
        <f>+AK11-AK12</f>
        <v>930</v>
      </c>
      <c r="AL5" s="198">
        <f>+AL11-AL12</f>
        <v>811</v>
      </c>
      <c r="AM5" s="198">
        <f>+AM11-AM12</f>
        <v>751</v>
      </c>
      <c r="AN5" s="198">
        <f>+AN11-AN12</f>
        <v>799</v>
      </c>
      <c r="AO5" s="199"/>
      <c r="AP5" s="198">
        <f>+AP11-AP12</f>
        <v>908</v>
      </c>
      <c r="AQ5" s="198">
        <f>+AQ11-AQ12</f>
        <v>916</v>
      </c>
      <c r="AR5" s="198">
        <f>+AR11-AR12</f>
        <v>951</v>
      </c>
      <c r="AS5" s="198">
        <f>+AS11-AS12</f>
        <v>895</v>
      </c>
      <c r="AU5" s="198">
        <f>+AU11-AU12</f>
        <v>869</v>
      </c>
      <c r="AV5" s="198">
        <f>+AV11-AV12</f>
        <v>808</v>
      </c>
      <c r="AW5" s="198">
        <f>+AW11-AW12</f>
        <v>775</v>
      </c>
      <c r="AX5" s="198">
        <f>+AX11-AX12</f>
        <v>878</v>
      </c>
      <c r="AZ5" s="198">
        <f>+AZ11-AZ12</f>
        <v>914</v>
      </c>
      <c r="BA5" s="198">
        <f>+BA11-BA12</f>
        <v>956</v>
      </c>
      <c r="BB5" s="198">
        <f>+BB11-BB12</f>
        <v>981</v>
      </c>
      <c r="BC5" s="198">
        <f>+BC11-BC12</f>
        <v>1039</v>
      </c>
      <c r="BE5" s="198">
        <f>+BE11-BE12</f>
        <v>1026</v>
      </c>
      <c r="BF5" s="198">
        <f>+BF11-BF12</f>
        <v>1068</v>
      </c>
      <c r="BG5" s="198">
        <f>+BG11-BG12</f>
        <v>1073</v>
      </c>
      <c r="BH5" s="198">
        <f>+BH11-BH12</f>
        <v>1085</v>
      </c>
      <c r="BJ5" s="198">
        <f>+BJ11-BJ12</f>
        <v>1122</v>
      </c>
      <c r="BK5" s="198">
        <f>+BK11-BK12</f>
        <v>1166</v>
      </c>
      <c r="BL5" s="198">
        <f>+BL11-BL12</f>
        <v>1180</v>
      </c>
      <c r="BM5" s="198">
        <f>+BM11-BM12</f>
        <v>1269</v>
      </c>
      <c r="BO5" s="198">
        <f>+BO11-BO12</f>
        <v>1298</v>
      </c>
      <c r="BP5" s="198">
        <f>+BP11-BP12</f>
        <v>1415</v>
      </c>
    </row>
    <row r="6" spans="1:70" ht="12.95" customHeight="1">
      <c r="A6" s="58" t="s">
        <v>214</v>
      </c>
      <c r="B6" s="60"/>
      <c r="C6" s="60"/>
      <c r="D6" s="60"/>
      <c r="E6" s="60"/>
      <c r="G6" s="60"/>
      <c r="H6" s="60"/>
      <c r="I6" s="60"/>
      <c r="J6" s="60"/>
      <c r="L6" s="60"/>
      <c r="M6" s="60"/>
      <c r="N6" s="60"/>
      <c r="O6" s="60"/>
      <c r="Q6" s="60"/>
      <c r="R6" s="60"/>
      <c r="S6" s="60"/>
      <c r="T6" s="60"/>
      <c r="V6" s="60"/>
      <c r="W6" s="60"/>
      <c r="X6" s="60"/>
      <c r="Y6" s="60"/>
      <c r="AA6" s="60"/>
      <c r="AB6" s="60"/>
      <c r="AC6" s="60"/>
      <c r="AD6" s="60"/>
      <c r="AF6" s="60">
        <f>+AF5/AF13</f>
        <v>9.1563113145846961E-2</v>
      </c>
      <c r="AG6" s="60">
        <f>+AG5/AG13</f>
        <v>9.0974314822786631E-2</v>
      </c>
      <c r="AH6" s="60">
        <f>+AH5/AH13</f>
        <v>8.7880935506732816E-2</v>
      </c>
      <c r="AI6" s="60">
        <f>+AI5/AI13</f>
        <v>7.7957766849869825E-2</v>
      </c>
      <c r="AK6" s="60">
        <f>+AK5/AK13</f>
        <v>7.1008627930060325E-2</v>
      </c>
      <c r="AL6" s="60">
        <f>+AL5/AL13</f>
        <v>6.5130099582396406E-2</v>
      </c>
      <c r="AM6" s="60">
        <f>+AM5/AM13</f>
        <v>6.3082738345233091E-2</v>
      </c>
      <c r="AN6" s="60">
        <f>+AN5/AN13</f>
        <v>6.8366561136305293E-2</v>
      </c>
      <c r="AP6" s="60">
        <f>+AP5/AP13</f>
        <v>7.4954597985801549E-2</v>
      </c>
      <c r="AQ6" s="60">
        <f>+AQ5/AQ13</f>
        <v>7.2669575565251887E-2</v>
      </c>
      <c r="AR6" s="60">
        <f>+AR5/AR13</f>
        <v>7.124129148250806E-2</v>
      </c>
      <c r="AS6" s="60">
        <f>+AS5/AS13</f>
        <v>6.1933430212442048E-2</v>
      </c>
      <c r="AU6" s="60">
        <f>+AU5/AU13</f>
        <v>5.7306779213927725E-2</v>
      </c>
      <c r="AV6" s="60">
        <f>+AV5/AV13</f>
        <v>5.198147195059187E-2</v>
      </c>
      <c r="AW6" s="60">
        <f>+AW5/AW13</f>
        <v>4.9265780942088867E-2</v>
      </c>
      <c r="AX6" s="60">
        <f>+AX5/AX13</f>
        <v>5.6267623686234301E-2</v>
      </c>
      <c r="AZ6" s="60">
        <f>+AZ5/AZ13</f>
        <v>5.9501334548531994E-2</v>
      </c>
      <c r="BA6" s="60">
        <f>+BA5/BA13</f>
        <v>6.2692635582661152E-2</v>
      </c>
      <c r="BB6" s="60">
        <f>+BB5/BB13</f>
        <v>6.4739655513759653E-2</v>
      </c>
      <c r="BC6" s="60">
        <f>+BC5/BC13</f>
        <v>6.8117747328394415E-2</v>
      </c>
      <c r="BE6" s="60">
        <f>+BE5/BE13</f>
        <v>6.7362615717943664E-2</v>
      </c>
      <c r="BF6" s="60">
        <f>+BF5/BF13</f>
        <v>6.9508623494956068E-2</v>
      </c>
      <c r="BG6" s="60">
        <f>+BG5/BG13</f>
        <v>6.8667605273262516E-2</v>
      </c>
      <c r="BH6" s="60">
        <f>+BH5/BH13</f>
        <v>6.8631792017205387E-2</v>
      </c>
      <c r="BJ6" s="60">
        <f>+BJ5/BJ13</f>
        <v>6.9409217445097426E-2</v>
      </c>
      <c r="BK6" s="60">
        <f>+BK5/BK13</f>
        <v>7.2175796966883324E-2</v>
      </c>
      <c r="BL6" s="60">
        <f>+BL5/BL13</f>
        <v>7.3639540688966554E-2</v>
      </c>
      <c r="BM6" s="60">
        <f>+BM5/BM13</f>
        <v>7.9997478408875999E-2</v>
      </c>
      <c r="BO6" s="60">
        <f>+BO5/BO13</f>
        <v>8.03118425937384E-2</v>
      </c>
      <c r="BP6" s="60">
        <f>+BP5/BP13</f>
        <v>8.5215296597410423E-2</v>
      </c>
    </row>
    <row r="7" spans="1:70" ht="12.95" customHeight="1">
      <c r="A7" s="58" t="s">
        <v>215</v>
      </c>
      <c r="T7" s="60"/>
      <c r="V7" s="60"/>
      <c r="W7" s="60"/>
      <c r="X7" s="60"/>
      <c r="Y7" s="60"/>
      <c r="AA7" s="60"/>
      <c r="AB7" s="60"/>
      <c r="AC7" s="60"/>
      <c r="AD7" s="60"/>
      <c r="AF7" s="60">
        <f>+AF5/AF14</f>
        <v>0.11498448622011316</v>
      </c>
      <c r="AG7" s="60">
        <f>+AG5/AG14</f>
        <v>0.1135183527305282</v>
      </c>
      <c r="AH7" s="60">
        <f>+AH5/AH14</f>
        <v>0.10910690717113947</v>
      </c>
      <c r="AI7" s="60">
        <f>+AI5/AI14</f>
        <v>9.5626718708418351E-2</v>
      </c>
      <c r="AK7" s="60">
        <f>+AK5/AK14</f>
        <v>8.5188238527067875E-2</v>
      </c>
      <c r="AL7" s="60">
        <f>+AL5/AL14</f>
        <v>7.7039992400493973E-2</v>
      </c>
      <c r="AM7" s="60">
        <f>+AM5/AM14</f>
        <v>7.3801100628930819E-2</v>
      </c>
      <c r="AN7" s="60">
        <f>+AN5/AN14</f>
        <v>8.0301507537688444E-2</v>
      </c>
      <c r="AP7" s="60">
        <f>+AP5/AP14</f>
        <v>8.9892089892089896E-2</v>
      </c>
      <c r="AQ7" s="60">
        <f>+AQ5/AQ14</f>
        <v>8.8391392453922607E-2</v>
      </c>
      <c r="AR7" s="60">
        <f>+AR5/AR14</f>
        <v>8.7706354329982472E-2</v>
      </c>
      <c r="AS7" s="60">
        <f>+AS5/AS14</f>
        <v>7.7975257013416968E-2</v>
      </c>
      <c r="AU7" s="60">
        <f>+AU5/AU14</f>
        <v>7.3345712356515866E-2</v>
      </c>
      <c r="AV7" s="60">
        <f>+AV5/AV14</f>
        <v>6.7496449753571136E-2</v>
      </c>
      <c r="AW7" s="60">
        <f>+AW5/AW14</f>
        <v>6.4288676897552882E-2</v>
      </c>
      <c r="AX7" s="60">
        <f>+AX5/AX14</f>
        <v>7.2257427372232744E-2</v>
      </c>
      <c r="AZ7" s="60">
        <f>+AZ5/AZ14</f>
        <v>7.5574665123201587E-2</v>
      </c>
      <c r="BA7" s="60">
        <f>+BA5/BA14</f>
        <v>7.903439153439154E-2</v>
      </c>
      <c r="BB7" s="60">
        <f>+BB5/BB14</f>
        <v>8.1040892193308553E-2</v>
      </c>
      <c r="BC7" s="60">
        <f>+BC5/BC14</f>
        <v>8.5528482054659197E-2</v>
      </c>
      <c r="BE7" s="60">
        <f>+BE5/BE14</f>
        <v>8.4091467912466189E-2</v>
      </c>
      <c r="BF7" s="60">
        <f>+BF5/BF14</f>
        <v>8.6226384627805588E-2</v>
      </c>
      <c r="BG7" s="60">
        <f>+BG5/BG14</f>
        <v>8.4943001899936671E-2</v>
      </c>
      <c r="BH7" s="60">
        <f>+BH5/BH14</f>
        <v>8.448181888966752E-2</v>
      </c>
      <c r="BJ7" s="60">
        <f>+BJ5/BJ14</f>
        <v>8.5238927296209077E-2</v>
      </c>
      <c r="BK7" s="60">
        <f>+BK5/BK14</f>
        <v>8.8093079480205505E-2</v>
      </c>
      <c r="BL7" s="60">
        <f>+BL5/BL14</f>
        <v>8.9157536834151868E-2</v>
      </c>
      <c r="BM7" s="60">
        <f>+BM5/BM14</f>
        <v>9.6282245827010629E-2</v>
      </c>
      <c r="BO7" s="60">
        <f>+BO5/BO14</f>
        <v>9.631938260611457E-2</v>
      </c>
      <c r="BP7" s="60">
        <f>+BP5/BP14</f>
        <v>0.10236562251320264</v>
      </c>
    </row>
    <row r="8" spans="1:70" ht="12.95" customHeight="1"/>
    <row r="9" spans="1:70" ht="12.95" customHeight="1"/>
    <row r="10" spans="1:70" ht="12.95" customHeight="1"/>
    <row r="11" spans="1:70" ht="12.95" customHeight="1">
      <c r="A11" s="58" t="s">
        <v>164</v>
      </c>
      <c r="B11" s="61">
        <f>Valuation!H23-Valuation!H21</f>
        <v>194</v>
      </c>
      <c r="C11" s="61">
        <f>Valuation!I23-Valuation!I21</f>
        <v>175</v>
      </c>
      <c r="D11" s="61">
        <f>Valuation!J23-Valuation!J21</f>
        <v>178</v>
      </c>
      <c r="E11" s="61">
        <f>Valuation!K23-Valuation!K21</f>
        <v>164</v>
      </c>
      <c r="F11" s="61"/>
      <c r="G11" s="61">
        <f>Valuation!M23-Valuation!M21</f>
        <v>218</v>
      </c>
      <c r="H11" s="61">
        <f>Valuation!N23-Valuation!N21</f>
        <v>244</v>
      </c>
      <c r="I11" s="61">
        <f>Valuation!O23-Valuation!O21</f>
        <v>296</v>
      </c>
      <c r="J11" s="61">
        <f>Valuation!P23-Valuation!P21</f>
        <v>360</v>
      </c>
      <c r="K11" s="61"/>
      <c r="L11" s="61">
        <f>Valuation!R23-Valuation!R21</f>
        <v>371</v>
      </c>
      <c r="M11" s="61">
        <f>Valuation!S23-Valuation!S21</f>
        <v>419</v>
      </c>
      <c r="N11" s="61">
        <f>Valuation!T23-Valuation!T21</f>
        <v>444</v>
      </c>
      <c r="O11" s="61">
        <f>Valuation!U23-Valuation!U21</f>
        <v>454</v>
      </c>
      <c r="P11" s="61"/>
      <c r="Q11" s="61">
        <f>Valuation!W23-Valuation!W21</f>
        <v>503</v>
      </c>
      <c r="R11" s="61">
        <f>Valuation!X23-Valuation!X21</f>
        <v>563</v>
      </c>
      <c r="S11" s="61">
        <f>Valuation!Y23-Valuation!Y21</f>
        <v>634</v>
      </c>
      <c r="T11" s="61">
        <f>Valuation!Z23-Valuation!Z21</f>
        <v>709</v>
      </c>
      <c r="U11" s="61"/>
      <c r="V11" s="61">
        <f>Valuation!AB23-Valuation!AB21</f>
        <v>760</v>
      </c>
      <c r="W11" s="61">
        <f>Valuation!AC23-Valuation!AC21</f>
        <v>829</v>
      </c>
      <c r="X11" s="61">
        <f>Valuation!AD23-Valuation!AD21</f>
        <v>890</v>
      </c>
      <c r="Y11" s="61">
        <f>Valuation!AE23-Valuation!AE21</f>
        <v>914</v>
      </c>
      <c r="Z11" s="61"/>
      <c r="AA11" s="61">
        <f>Valuation!AG23-Valuation!AG21</f>
        <v>994</v>
      </c>
      <c r="AB11" s="61">
        <f>Valuation!AH23-Valuation!AH21</f>
        <v>1126</v>
      </c>
      <c r="AC11" s="61">
        <f>Valuation!AI23-Valuation!AI21</f>
        <v>1204</v>
      </c>
      <c r="AD11" s="61">
        <f>Valuation!AJ23-Valuation!AJ21</f>
        <v>1363</v>
      </c>
      <c r="AF11" s="61">
        <f>Valuation!AL23-Valuation!AL21</f>
        <v>1412</v>
      </c>
      <c r="AG11" s="61">
        <f>Valuation!AM23-Valuation!AM21</f>
        <v>1476</v>
      </c>
      <c r="AH11" s="61">
        <f>Valuation!AN23-Valuation!AN21</f>
        <v>1503</v>
      </c>
      <c r="AI11" s="61">
        <f>Valuation!AO23-Valuation!AO21</f>
        <v>1300</v>
      </c>
      <c r="AK11" s="61">
        <f>Valuation!AQ23-Valuation!AQ21</f>
        <v>1142</v>
      </c>
      <c r="AL11" s="59">
        <f>Valuation!AR23-Valuation!AR21</f>
        <v>975</v>
      </c>
      <c r="AM11" s="59">
        <f>Valuation!AS23-Valuation!AS21</f>
        <v>878</v>
      </c>
      <c r="AN11" s="59">
        <f>Valuation!AT23-Valuation!AT21</f>
        <v>935</v>
      </c>
      <c r="AP11" s="59">
        <f>Valuation!AV23-Valuation!AV21</f>
        <v>1023</v>
      </c>
      <c r="AQ11" s="59">
        <f>Valuation!AW23-Valuation!AW21</f>
        <v>1011</v>
      </c>
      <c r="AR11" s="59">
        <f>Valuation!AX23-Valuation!AX21</f>
        <v>1025</v>
      </c>
      <c r="AS11" s="59">
        <f>Valuation!AY23-Valuation!AY21</f>
        <v>985</v>
      </c>
      <c r="AU11" s="59">
        <f>Valuation!BA23-Valuation!BA21</f>
        <v>971</v>
      </c>
      <c r="AV11" s="59">
        <f>Valuation!BB23-Valuation!BB21</f>
        <v>908</v>
      </c>
      <c r="AW11" s="59">
        <f>Valuation!BC23-Valuation!BC21</f>
        <v>947</v>
      </c>
      <c r="AX11" s="59">
        <f>Valuation!BD23-Valuation!BD21</f>
        <v>1036</v>
      </c>
      <c r="AZ11" s="59">
        <f>+Valuation!BF23</f>
        <v>1044</v>
      </c>
      <c r="BA11" s="59">
        <f>+Valuation!BG23</f>
        <v>1065</v>
      </c>
      <c r="BB11" s="59">
        <f>+Valuation!BH23</f>
        <v>1000</v>
      </c>
      <c r="BC11" s="59">
        <f>+Valuation!BI23</f>
        <v>1039</v>
      </c>
      <c r="BE11" s="59">
        <f>+Valuation!BK23</f>
        <v>1026</v>
      </c>
      <c r="BF11" s="59">
        <f>+Valuation!BL23</f>
        <v>1068</v>
      </c>
      <c r="BG11" s="59">
        <f>+Valuation!BM23</f>
        <v>1073</v>
      </c>
      <c r="BH11" s="59">
        <f>+Valuation!BN23</f>
        <v>1085</v>
      </c>
      <c r="BJ11" s="59">
        <f>+Valuation!BP23</f>
        <v>1122</v>
      </c>
      <c r="BK11" s="59">
        <f>+Valuation!BQ23</f>
        <v>1166</v>
      </c>
      <c r="BL11" s="59">
        <f>+Valuation!BR23</f>
        <v>1180</v>
      </c>
      <c r="BM11" s="59">
        <f>+Valuation!BS23</f>
        <v>1269</v>
      </c>
      <c r="BO11" s="59">
        <f>+Valuation!BU23</f>
        <v>1298</v>
      </c>
      <c r="BP11" s="59">
        <f>+Valuation!BV23</f>
        <v>1415</v>
      </c>
      <c r="BQ11" s="59"/>
      <c r="BR11" s="59"/>
    </row>
    <row r="12" spans="1:70" ht="12.95" customHeight="1">
      <c r="A12" s="58" t="s">
        <v>165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F12" s="61">
        <f>+'Segment Data'!AY34+'Segment Data'!AV34+'Segment Data'!AU34+'Segment Data'!AT34</f>
        <v>152</v>
      </c>
      <c r="AG12" s="61">
        <f>+'Segment Data'!AZ34+'Segment Data'!AY34+'Segment Data'!AV34+'Segment Data'!AU34</f>
        <v>208</v>
      </c>
      <c r="AH12" s="61">
        <f>+'Segment Data'!BA34+'Segment Data'!AZ34+'Segment Data'!AY34+'Segment Data'!AV34</f>
        <v>263</v>
      </c>
      <c r="AI12" s="61">
        <f>+'Segment Data'!BC34</f>
        <v>222</v>
      </c>
      <c r="AK12" s="61">
        <f>+'Segment Data'!BE34+'Segment Data'!BB34+'Segment Data'!BA34+'Segment Data'!AZ34</f>
        <v>212</v>
      </c>
      <c r="AL12" s="59">
        <f>+'Segment Data'!BF34+'Segment Data'!BE34+'Segment Data'!BB34+'Segment Data'!BA34</f>
        <v>164</v>
      </c>
      <c r="AM12" s="59">
        <f>+'Segment Data'!BG34+'Segment Data'!BF34+'Segment Data'!BE34+'Segment Data'!BB34</f>
        <v>127</v>
      </c>
      <c r="AN12" s="59">
        <f>+'Segment Data'!BI34</f>
        <v>136</v>
      </c>
      <c r="AP12" s="59">
        <f>+'Segment Data'!BK34+'Segment Data'!BH34+'Segment Data'!BG34+'Segment Data'!BF34</f>
        <v>115</v>
      </c>
      <c r="AQ12" s="59">
        <f>+'Segment Data'!BL34+'Segment Data'!BK34+'Segment Data'!BH34+'Segment Data'!BG34</f>
        <v>95</v>
      </c>
      <c r="AR12" s="59">
        <f>+'Segment Data'!BM34+'Segment Data'!BL34+'Segment Data'!BK34+'Segment Data'!BH34</f>
        <v>74</v>
      </c>
      <c r="AS12" s="59">
        <f>+'Segment Data'!BO34</f>
        <v>90</v>
      </c>
      <c r="AU12" s="59">
        <f>+'Segment Data'!BQ34+'Segment Data'!BN34+'Segment Data'!BM34+'Segment Data'!BL34</f>
        <v>102</v>
      </c>
      <c r="AV12" s="59">
        <f>+'Segment Data'!BR34+'Segment Data'!BQ34+'Segment Data'!BN34+'Segment Data'!BM34</f>
        <v>100</v>
      </c>
      <c r="AW12" s="59">
        <f>+'Segment Data'!BS34+'Segment Data'!BR34+'Segment Data'!BQ34+'Segment Data'!BN34</f>
        <v>172</v>
      </c>
      <c r="AX12" s="59">
        <f>+'Segment Data'!BU34</f>
        <v>158</v>
      </c>
      <c r="AZ12" s="59">
        <f>+'Segment Data'!BW34+'Segment Data'!BT34+'Segment Data'!BS34+'Segment Data'!BR34</f>
        <v>130</v>
      </c>
      <c r="BA12" s="59">
        <f>+'Segment Data'!BX34+'Segment Data'!BW34+'Segment Data'!BT34+'Segment Data'!BS34</f>
        <v>109</v>
      </c>
      <c r="BB12" s="59">
        <f>+'Segment Data'!BY34+'Segment Data'!BX34+'Segment Data'!BW34+'Segment Data'!BT34</f>
        <v>19</v>
      </c>
      <c r="BC12" s="59">
        <f>+'Segment Data'!CA34</f>
        <v>0</v>
      </c>
      <c r="BE12" s="59"/>
      <c r="BF12" s="59"/>
      <c r="BG12" s="59"/>
      <c r="BH12" s="59"/>
      <c r="BJ12" s="59"/>
      <c r="BK12" s="59"/>
      <c r="BL12" s="59"/>
      <c r="BM12" s="59"/>
      <c r="BO12" s="59"/>
    </row>
    <row r="13" spans="1:70" ht="12.95" customHeight="1">
      <c r="A13" s="58" t="s">
        <v>88</v>
      </c>
      <c r="B13" s="61">
        <f>'Segment Data'!D13+'Segment Data'!E13+'Segment Data'!F13+'Segment Data'!I13</f>
        <v>6239</v>
      </c>
      <c r="C13" s="61">
        <f>'Segment Data'!E13+'Segment Data'!F13+'Segment Data'!I13+'Segment Data'!J13</f>
        <v>6087</v>
      </c>
      <c r="D13" s="61">
        <f>'Segment Data'!F13+'Segment Data'!I13+'Segment Data'!J13+'Segment Data'!K13</f>
        <v>5986</v>
      </c>
      <c r="E13" s="61">
        <f>'Segment Data'!I13+'Segment Data'!J13+'Segment Data'!K13+'Segment Data'!L13</f>
        <v>5889</v>
      </c>
      <c r="G13" s="61">
        <f>'Segment Data'!J13+'Segment Data'!K13+'Segment Data'!L13+'Segment Data'!O13</f>
        <v>5872</v>
      </c>
      <c r="H13" s="61">
        <f>'Segment Data'!K13+'Segment Data'!L13+'Segment Data'!O13+'Segment Data'!P13</f>
        <v>5810</v>
      </c>
      <c r="I13" s="61">
        <f>'Segment Data'!L13+'Segment Data'!O13+'Segment Data'!P13+'Segment Data'!Q13</f>
        <v>5822</v>
      </c>
      <c r="J13" s="61">
        <f>'Segment Data'!O13+'Segment Data'!P13+'Segment Data'!Q13+'Segment Data'!R13</f>
        <v>5824</v>
      </c>
      <c r="L13" s="61">
        <f>'Segment Data'!P13+'Segment Data'!Q13+'Segment Data'!R13+'Segment Data'!AA13</f>
        <v>5794</v>
      </c>
      <c r="M13" s="61">
        <f>'Segment Data'!Q13+'Segment Data'!R13+'Segment Data'!AA13+'Segment Data'!AB13</f>
        <v>6181</v>
      </c>
      <c r="N13" s="61">
        <f>'Segment Data'!R13+'Segment Data'!AA13+'Segment Data'!AB13+'Segment Data'!AC13</f>
        <v>6626</v>
      </c>
      <c r="O13" s="61">
        <f>'Segment Data'!AA13+'Segment Data'!AB13+'Segment Data'!AC13+'Segment Data'!AD13</f>
        <v>7138</v>
      </c>
      <c r="Q13" s="61">
        <f>'Segment Data'!AB13+'Segment Data'!AC13+'Segment Data'!AD13+'Segment Data'!AG13</f>
        <v>7700</v>
      </c>
      <c r="R13" s="61">
        <f>'Segment Data'!AC13+'Segment Data'!AD13+'Segment Data'!AG13+'Segment Data'!AH13</f>
        <v>8137</v>
      </c>
      <c r="S13" s="61">
        <f>'Segment Data'!AD13+'Segment Data'!AG13+'Segment Data'!AH13+'Segment Data'!AI13</f>
        <v>8391</v>
      </c>
      <c r="T13" s="61">
        <f>'Segment Data'!AG13+'Segment Data'!AH13+'Segment Data'!AI13+'Segment Data'!AJ13</f>
        <v>8750</v>
      </c>
      <c r="V13" s="61">
        <f>'Segment Data'!AH13+'Segment Data'!AI13+'Segment Data'!AJ13+'Segment Data'!AM13</f>
        <v>9296</v>
      </c>
      <c r="W13" s="61">
        <f>'Segment Data'!AI13+'Segment Data'!AJ13+'Segment Data'!AM13+'Segment Data'!AN13</f>
        <v>9841</v>
      </c>
      <c r="X13" s="61">
        <f>'Segment Data'!AJ13+'Segment Data'!AM13+'Segment Data'!AN13+'Segment Data'!AO13</f>
        <v>10313</v>
      </c>
      <c r="Y13" s="61">
        <f>'Segment Data'!AM13+'Segment Data'!AN13+'Segment Data'!AO13+'Segment Data'!AP13</f>
        <v>10815</v>
      </c>
      <c r="AA13" s="61">
        <f>'Segment Data'!AN13+'Segment Data'!AO13+'Segment Data'!AP13+'Segment Data'!AS13</f>
        <v>11533</v>
      </c>
      <c r="AB13" s="61">
        <f>'Segment Data'!AO13+'Segment Data'!AP13+'Segment Data'!AS13+'Segment Data'!AT13</f>
        <v>12308</v>
      </c>
      <c r="AC13" s="61">
        <f>'Segment Data'!AP13+'Segment Data'!AS13+'Segment Data'!AT13+'Segment Data'!AU13</f>
        <v>12961</v>
      </c>
      <c r="AD13" s="61">
        <v>13525</v>
      </c>
      <c r="AF13" s="61">
        <f>+'Segment Data'!AY13+'Segment Data'!AV13+'Segment Data'!AU13+'Segment Data'!AT13</f>
        <v>13761</v>
      </c>
      <c r="AG13" s="61">
        <f>+'Segment Data'!AZ13+'Segment Data'!AY13+'Segment Data'!AV13+'Segment Data'!AU13</f>
        <v>13938</v>
      </c>
      <c r="AH13" s="61">
        <f>+'Segment Data'!BA13+'Segment Data'!AZ13+'Segment Data'!AY13+'Segment Data'!AV13</f>
        <v>14110</v>
      </c>
      <c r="AI13" s="61">
        <f>+'Segment Data'!BC13</f>
        <v>13828</v>
      </c>
      <c r="AK13" s="62">
        <f>+'Segment Data'!BE13+'Segment Data'!BB13+'Segment Data'!BA13+'Segment Data'!AZ13</f>
        <v>13097</v>
      </c>
      <c r="AL13" s="61">
        <f>+'Segment Data'!BA13+'Segment Data'!BB13+'Segment Data'!BE13+'Segment Data'!BF13</f>
        <v>12452</v>
      </c>
      <c r="AM13" s="61">
        <f>+'Segment Data'!BB13+'Segment Data'!BE13+'Segment Data'!BF13+'Segment Data'!BG13</f>
        <v>11905</v>
      </c>
      <c r="AN13" s="59">
        <f>'Segment Data'!BI13</f>
        <v>11687</v>
      </c>
      <c r="AP13" s="59">
        <f>'Segment Data'!BK13+'Segment Data'!BH13+'Segment Data'!BG13+'Segment Data'!BF13</f>
        <v>12114</v>
      </c>
      <c r="AQ13" s="59">
        <f>+'Segment Data'!BL13+'Segment Data'!BK13+'Segment Data'!BH13+'Segment Data'!BG13</f>
        <v>12605</v>
      </c>
      <c r="AR13" s="61">
        <f>+'Segment Data'!BM13+'Segment Data'!BL13+'Segment Data'!BK13+'Segment Data'!BH13</f>
        <v>13349</v>
      </c>
      <c r="AS13" s="61">
        <f>+'Segment Data'!BO13</f>
        <v>14451</v>
      </c>
      <c r="AU13" s="59">
        <f>'Segment Data'!BQ13+'Segment Data'!BN13+'Segment Data'!BM13+'Segment Data'!BL13+1</f>
        <v>15164</v>
      </c>
      <c r="AV13" s="59">
        <f>+'Segment Data'!BR13+'Segment Data'!BQ13+'Segment Data'!BN13+'Segment Data'!BM13</f>
        <v>15544</v>
      </c>
      <c r="AW13" s="59">
        <f>+'Segment Data'!BS13+'Segment Data'!BR13+'Segment Data'!BQ13+'Segment Data'!BN13</f>
        <v>15731</v>
      </c>
      <c r="AX13" s="59">
        <f>+'Segment Data'!BU13</f>
        <v>15604</v>
      </c>
      <c r="AZ13" s="61">
        <f>+'Segment Data'!BW13+'Segment Data'!BT13+'Segment Data'!BS13+'Segment Data'!BR13</f>
        <v>15361</v>
      </c>
      <c r="BA13" s="59">
        <f>+'Segment Data'!BX13+'Segment Data'!BW13+'Segment Data'!BT13+'Segment Data'!BS13</f>
        <v>15249</v>
      </c>
      <c r="BB13" s="59">
        <f>+'Segment Data'!BY13+'Segment Data'!BX13+'Segment Data'!BW13+'Segment Data'!BT13</f>
        <v>15153</v>
      </c>
      <c r="BC13" s="59">
        <f>+'Segment Data'!CA13</f>
        <v>15253</v>
      </c>
      <c r="BE13" s="61">
        <f>+'Segment Data'!CC13+'Segment Data'!BZ13+'Segment Data'!BY13+'Segment Data'!BX13</f>
        <v>15231</v>
      </c>
      <c r="BF13" s="59">
        <f>+'Segment Data'!CD13+'Segment Data'!CC13+'Segment Data'!BZ13+'Segment Data'!BY13</f>
        <v>15365</v>
      </c>
      <c r="BG13" s="59">
        <f>+'Segment Data'!CE13+'Segment Data'!CD13+'Segment Data'!CC13+'Segment Data'!BZ13</f>
        <v>15626</v>
      </c>
      <c r="BH13" s="59">
        <f>+'Segment Data'!CG13</f>
        <v>15809</v>
      </c>
      <c r="BJ13" s="59">
        <f>+'Segment Data'!CD13+'Segment Data'!CE13+'Segment Data'!CF13+'Segment Data'!CI13</f>
        <v>16165</v>
      </c>
      <c r="BK13" s="59">
        <f>+'Segment Data'!CE13+'Segment Data'!CF13+'Segment Data'!CI13+'Segment Data'!CJ13</f>
        <v>16155</v>
      </c>
      <c r="BL13" s="59">
        <f>+'Segment Data'!CK13+'Segment Data'!CJ13+'Segment Data'!CI13+'Segment Data'!CF13</f>
        <v>16024</v>
      </c>
      <c r="BM13" s="59">
        <f>+'Segment Data'!CM13</f>
        <v>15863</v>
      </c>
      <c r="BO13" s="59">
        <f>+'Segment Data'!CO13+'Segment Data'!CL13+'Segment Data'!CK13+'Segment Data'!CJ13</f>
        <v>16162</v>
      </c>
      <c r="BP13" s="59">
        <f>+'Segment Data'!CP13+'Segment Data'!CO13+'Segment Data'!CL13+'Segment Data'!CK13</f>
        <v>16605</v>
      </c>
      <c r="BQ13" s="59"/>
      <c r="BR13" s="59"/>
    </row>
    <row r="14" spans="1:70" ht="12.95" customHeight="1" thickBot="1">
      <c r="A14" s="58" t="s">
        <v>98</v>
      </c>
      <c r="T14" s="61">
        <f>+'Segment Data'!AJ16+'Segment Data'!AI16+'Segment Data'!AH16+'Segment Data'!AG16</f>
        <v>8180</v>
      </c>
      <c r="V14" s="61">
        <f>+'Segment Data'!AM16+'Segment Data'!AJ16+'Segment Data'!AI16+'Segment Data'!AH16</f>
        <v>8540</v>
      </c>
      <c r="W14" s="61">
        <f>+'Segment Data'!AN16+'Segment Data'!AM16+'Segment Data'!AJ16+'Segment Data'!AI16</f>
        <v>8734</v>
      </c>
      <c r="X14" s="61">
        <f>+'Segment Data'!AO16+'Segment Data'!AN16+'Segment Data'!AM16+'Segment Data'!AJ16</f>
        <v>8835</v>
      </c>
      <c r="Y14" s="61">
        <f>+'Segment Data'!AP16+'Segment Data'!AO16+'Segment Data'!AN16+'Segment Data'!AM16</f>
        <v>9000</v>
      </c>
      <c r="AA14" s="61">
        <f>+'Segment Data'!AS16+'Segment Data'!AP16+'Segment Data'!AO16+'Segment Data'!AN16</f>
        <v>9390</v>
      </c>
      <c r="AB14" s="61">
        <f>+'Segment Data'!AT16+'Segment Data'!AS16+'Segment Data'!AP16+'Segment Data'!AO16</f>
        <v>9901</v>
      </c>
      <c r="AC14" s="61">
        <f>+'Segment Data'!AU16+'Segment Data'!AT16+'Segment Data'!AS16+'Segment Data'!AP16</f>
        <v>10342</v>
      </c>
      <c r="AD14" s="59">
        <f>+'Segment Data'!AV16+'Segment Data'!AU16+'Segment Data'!AT16+'Segment Data'!AS16</f>
        <v>10798</v>
      </c>
      <c r="AF14" s="61">
        <f>+'Segment Data'!AY16+'Segment Data'!AV16+'Segment Data'!AU16+'Segment Data'!AT16</f>
        <v>10958</v>
      </c>
      <c r="AG14" s="61">
        <f>+'Segment Data'!AZ16+'Segment Data'!AY16+'Segment Data'!AV16+'Segment Data'!AU16</f>
        <v>11170</v>
      </c>
      <c r="AH14" s="59">
        <f>+'Segment Data'!BA16+'Segment Data'!AZ16+'Segment Data'!AY16+'Segment Data'!AV16</f>
        <v>11365</v>
      </c>
      <c r="AI14" s="59">
        <f>+'Segment Data'!BC16</f>
        <v>11273</v>
      </c>
      <c r="AK14" s="61">
        <f>+'Segment Data'!BE16+'Segment Data'!BB16+'Segment Data'!BA16+'Segment Data'!AZ16</f>
        <v>10917</v>
      </c>
      <c r="AL14" s="61">
        <f>+'Segment Data'!BA16+'Segment Data'!BB16+'Segment Data'!BE16+'Segment Data'!BF16</f>
        <v>10527</v>
      </c>
      <c r="AM14" s="61">
        <f>+'Segment Data'!BB16+'Segment Data'!BE16+'Segment Data'!BF16+'Segment Data'!BG16</f>
        <v>10176</v>
      </c>
      <c r="AN14" s="59">
        <f>'Segment Data'!BI16</f>
        <v>9950</v>
      </c>
      <c r="AP14" s="59">
        <f>'Segment Data'!BK16+'Segment Data'!BH16+'Segment Data'!BG16+'Segment Data'!BF16</f>
        <v>10101</v>
      </c>
      <c r="AQ14" s="59">
        <f>+'Segment Data'!BL16+'Segment Data'!BK16+'Segment Data'!BH16+'Segment Data'!BG16</f>
        <v>10363</v>
      </c>
      <c r="AR14" s="61">
        <f>+'Segment Data'!BM16+'Segment Data'!BL16+'Segment Data'!BK16+'Segment Data'!BH16</f>
        <v>10843</v>
      </c>
      <c r="AS14" s="61">
        <f>+'Segment Data'!BO16</f>
        <v>11478</v>
      </c>
      <c r="AU14" s="59">
        <f>'Segment Data'!BQ16+'Segment Data'!BN16+'Segment Data'!BM16+'Segment Data'!BL16+1</f>
        <v>11848</v>
      </c>
      <c r="AV14" s="59">
        <f>+'Segment Data'!BR16+'Segment Data'!BQ16+'Segment Data'!BN16+'Segment Data'!BM16</f>
        <v>11971</v>
      </c>
      <c r="AW14" s="59">
        <f>+'Segment Data'!BS16+'Segment Data'!BR16+'Segment Data'!BQ16+'Segment Data'!BN16</f>
        <v>12055</v>
      </c>
      <c r="AX14" s="59">
        <f>+'Segment Data'!BU16</f>
        <v>12151</v>
      </c>
      <c r="AZ14" s="61">
        <f>+'Segment Data'!BW16+'Segment Data'!BT16+'Segment Data'!BS16+'Segment Data'!BR16</f>
        <v>12094</v>
      </c>
      <c r="BA14" s="59">
        <f>+'Segment Data'!BX16+'Segment Data'!BW16+'Segment Data'!BT16+'Segment Data'!BS16</f>
        <v>12096</v>
      </c>
      <c r="BB14" s="59">
        <f>+'Segment Data'!BY16+'Segment Data'!BX16+'Segment Data'!BW16+'Segment Data'!BT16</f>
        <v>12105</v>
      </c>
      <c r="BC14" s="59">
        <f>+'Segment Data'!CA16</f>
        <v>12148</v>
      </c>
      <c r="BE14" s="61">
        <f>+'Segment Data'!CC16+'Segment Data'!BZ16+'Segment Data'!BY16+'Segment Data'!BX16</f>
        <v>12201</v>
      </c>
      <c r="BF14" s="59">
        <f>+'Segment Data'!CD16+'Segment Data'!CC16+'Segment Data'!BZ16+'Segment Data'!BY16</f>
        <v>12386</v>
      </c>
      <c r="BG14" s="59">
        <f>+'Segment Data'!CE16+'Segment Data'!CD16+'Segment Data'!CC16+'Segment Data'!BZ16</f>
        <v>12632</v>
      </c>
      <c r="BH14" s="59">
        <f>+'Segment Data'!CG16</f>
        <v>12843</v>
      </c>
      <c r="BJ14" s="59">
        <f>+'Segment Data'!CI16+'Segment Data'!CF16+'Segment Data'!CE16+'Segment Data'!CD16</f>
        <v>13163</v>
      </c>
      <c r="BK14" s="59">
        <f>+'Segment Data'!CE16+'Segment Data'!CF16+'Segment Data'!CI16+'Segment Data'!CJ16</f>
        <v>13236</v>
      </c>
      <c r="BL14" s="59">
        <f>+'Segment Data'!CK16+'Segment Data'!CJ16+'Segment Data'!CI16+'Segment Data'!CF16</f>
        <v>13235</v>
      </c>
      <c r="BM14" s="59">
        <f>+'Segment Data'!CM16</f>
        <v>13180</v>
      </c>
      <c r="BO14" s="59">
        <f>+'Segment Data'!CO16+'Segment Data'!CL16+'Segment Data'!CK16+'Segment Data'!CJ16</f>
        <v>13476</v>
      </c>
      <c r="BP14" s="59">
        <f>+'Segment Data'!CP16+'Segment Data'!CO16+'Segment Data'!CL16+'Segment Data'!CK16</f>
        <v>13823</v>
      </c>
      <c r="BQ14" s="59"/>
      <c r="BR14" s="59"/>
    </row>
    <row r="15" spans="1:70" s="147" customFormat="1"/>
    <row r="16" spans="1:70"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</row>
    <row r="17" spans="3:35">
      <c r="AF17" s="61"/>
      <c r="AG17" s="61"/>
      <c r="AH17" s="59"/>
      <c r="AI17" s="59"/>
    </row>
    <row r="30" spans="3:35">
      <c r="C30" s="58" t="s">
        <v>63</v>
      </c>
    </row>
  </sheetData>
  <mergeCells count="14">
    <mergeCell ref="B2:E2"/>
    <mergeCell ref="G2:J2"/>
    <mergeCell ref="L2:O2"/>
    <mergeCell ref="Q2:T2"/>
    <mergeCell ref="V2:Y2"/>
    <mergeCell ref="BJ2:BM2"/>
    <mergeCell ref="BO2:BR2"/>
    <mergeCell ref="AK2:AN2"/>
    <mergeCell ref="AF2:AI2"/>
    <mergeCell ref="AA2:AD2"/>
    <mergeCell ref="AU2:AX2"/>
    <mergeCell ref="BE2:BH2"/>
    <mergeCell ref="AZ2:BC2"/>
    <mergeCell ref="AP2:AS2"/>
  </mergeCells>
  <phoneticPr fontId="6" type="noConversion"/>
  <printOptions verticalCentered="1"/>
  <pageMargins left="0.94488188976377963" right="0.9055118110236221" top="0.9055118110236221" bottom="0.70866141732283472" header="0.51181102362204722" footer="0.19685039370078741"/>
  <pageSetup paperSize="9" scale="77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Front Page</vt:lpstr>
      <vt:lpstr> Financial Highlights</vt:lpstr>
      <vt:lpstr>Balance Sheet</vt:lpstr>
      <vt:lpstr>Cashflow</vt:lpstr>
      <vt:lpstr>Segment Data</vt:lpstr>
      <vt:lpstr>Valuation</vt:lpstr>
      <vt:lpstr>Operational EBITDA</vt:lpstr>
      <vt:lpstr>' Financial Highlights'!Print_Area</vt:lpstr>
      <vt:lpstr>'Balance Sheet'!Print_Area</vt:lpstr>
      <vt:lpstr>Cashflow!Print_Area</vt:lpstr>
      <vt:lpstr>'Front Page'!Print_Area</vt:lpstr>
      <vt:lpstr>'Operational EBITDA'!Print_Area</vt:lpstr>
      <vt:lpstr>'Segment Data'!Print_Area</vt:lpstr>
      <vt:lpstr>Valuation!Print_Area</vt:lpstr>
      <vt:lpstr>' Financial Highlights'!Print_Titles</vt:lpstr>
      <vt:lpstr>'Balance Sheet'!Print_Titles</vt:lpstr>
      <vt:lpstr>Cashflow!Print_Titles</vt:lpstr>
      <vt:lpstr>'Operational EBITDA'!Print_Titles</vt:lpstr>
      <vt:lpstr>'Segment Data'!Print_Titles</vt:lpstr>
      <vt:lpstr>Valuation!Print_Titles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Jannie Ellebo</dc:creator>
  <cp:lastModifiedBy>zzzz_X . Xsen</cp:lastModifiedBy>
  <cp:lastPrinted>2015-08-14T13:12:23Z</cp:lastPrinted>
  <dcterms:created xsi:type="dcterms:W3CDTF">2003-02-28T10:07:39Z</dcterms:created>
  <dcterms:modified xsi:type="dcterms:W3CDTF">2015-08-19T13:27:21Z</dcterms:modified>
</cp:coreProperties>
</file>