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35" yWindow="315" windowWidth="12690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Highlights'!$BE$2:$BU$46</definedName>
    <definedName name="_xlnm.Print_Area" localSheetId="2">'Balance Sheet'!$AV$4:$BI$41</definedName>
    <definedName name="_xlnm.Print_Area" localSheetId="3">Cashflow!$BE$5:$BU$31</definedName>
    <definedName name="_xlnm.Print_Area" localSheetId="0">'Front Page'!$A$1:$M$25</definedName>
    <definedName name="_xlnm.Print_Area" localSheetId="6">'Oper EBITDA Graph'!$AQ$16:$BE$41</definedName>
    <definedName name="_xlnm.Print_Area" localSheetId="4">'Segment Data'!$BE$4:$BU$85</definedName>
    <definedName name="_xlnm.Print_Area" localSheetId="5">Valuation!$AV$4:$BI$36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G39" i="2"/>
  <c r="BF14" i="7"/>
  <c r="BF7" s="1"/>
  <c r="BF13"/>
  <c r="BF11"/>
  <c r="BF6"/>
  <c r="BF5"/>
  <c r="BF39" i="2"/>
  <c r="BG36" l="1"/>
  <c r="BR40" i="1"/>
  <c r="BR36"/>
  <c r="BQ36"/>
  <c r="BR18" i="3" l="1"/>
  <c r="BR24" i="1" l="1"/>
  <c r="BR21"/>
  <c r="BR19"/>
  <c r="BR16"/>
  <c r="BR14"/>
  <c r="BR11"/>
  <c r="BR6" i="3"/>
  <c r="BR11" s="1"/>
  <c r="BR7"/>
  <c r="BG23" i="2"/>
  <c r="BG28" s="1"/>
  <c r="BG16"/>
  <c r="BG9"/>
  <c r="BG35" i="6"/>
  <c r="BG32"/>
  <c r="BG31"/>
  <c r="BG26"/>
  <c r="BG25" s="1"/>
  <c r="BG27" s="1"/>
  <c r="BG23"/>
  <c r="BG16"/>
  <c r="BG14"/>
  <c r="BG11"/>
  <c r="BG18" i="2" l="1"/>
  <c r="BR35" i="1"/>
  <c r="BR20" i="3"/>
  <c r="BR25" s="1"/>
  <c r="BG7" i="6"/>
  <c r="BG79" i="4"/>
  <c r="BR81"/>
  <c r="BR80"/>
  <c r="BR79"/>
  <c r="BR78"/>
  <c r="BR31" i="1" s="1"/>
  <c r="BR68" i="4"/>
  <c r="BR39"/>
  <c r="BR40"/>
  <c r="BR41"/>
  <c r="BR42"/>
  <c r="BR38"/>
  <c r="BR27"/>
  <c r="BU26"/>
  <c r="BR25" l="1"/>
  <c r="BR24"/>
  <c r="BR16"/>
  <c r="BR13"/>
  <c r="BE14" i="7" l="1"/>
  <c r="BE13"/>
  <c r="BE11"/>
  <c r="BE5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9"/>
  <c r="BQ40" s="1"/>
  <c r="BQ24"/>
  <c r="BQ7"/>
  <c r="BQ6" i="3" s="1"/>
  <c r="BQ5" i="1"/>
  <c r="BQ80" i="4"/>
  <c r="BQ79"/>
  <c r="BE7" i="7" l="1"/>
  <c r="BE6"/>
  <c r="BU44" i="1"/>
  <c r="BU43"/>
  <c r="BU24"/>
  <c r="BU20"/>
  <c r="BU18"/>
  <c r="BU17"/>
  <c r="BU15"/>
  <c r="BU13"/>
  <c r="BU12"/>
  <c r="BQ11"/>
  <c r="BQ14" s="1"/>
  <c r="BQ16" s="1"/>
  <c r="BQ19" s="1"/>
  <c r="BF36" i="2" s="1"/>
  <c r="BU10" i="1"/>
  <c r="BU9"/>
  <c r="BU8"/>
  <c r="BU7"/>
  <c r="BU5"/>
  <c r="BF23" i="2"/>
  <c r="BF28" s="1"/>
  <c r="BF16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F7"/>
  <c r="BF11" s="1"/>
  <c r="BF14" s="1"/>
  <c r="BH79" i="4"/>
  <c r="AP79"/>
  <c r="BC14" i="7"/>
  <c r="BC13"/>
  <c r="BC11"/>
  <c r="BC5" s="1"/>
  <c r="BN18" i="3"/>
  <c r="BN11"/>
  <c r="BN20" s="1"/>
  <c r="BN25" s="1"/>
  <c r="BN6"/>
  <c r="BD36" i="2"/>
  <c r="BD28"/>
  <c r="BD23"/>
  <c r="BD18"/>
  <c r="BD16"/>
  <c r="BD12"/>
  <c r="BD9"/>
  <c r="BN21" i="1"/>
  <c r="BN19"/>
  <c r="BN16"/>
  <c r="BN14"/>
  <c r="BN11"/>
  <c r="BN24"/>
  <c r="BN5"/>
  <c r="BD35" i="6"/>
  <c r="BD25"/>
  <c r="BD27" s="1"/>
  <c r="BD31" s="1"/>
  <c r="AY26"/>
  <c r="AX26"/>
  <c r="AW26"/>
  <c r="AV26"/>
  <c r="AT26"/>
  <c r="AS26"/>
  <c r="AR26"/>
  <c r="AQ26"/>
  <c r="AO26"/>
  <c r="AN26"/>
  <c r="AM26"/>
  <c r="AL26"/>
  <c r="BD23"/>
  <c r="BC23"/>
  <c r="BD16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Q20" l="1"/>
  <c r="BQ25" s="1"/>
  <c r="BQ35" i="1"/>
  <c r="BU35" s="1"/>
  <c r="BU18" i="3"/>
  <c r="BU36" i="1"/>
  <c r="BU40" i="4"/>
  <c r="BD32" i="6"/>
  <c r="BF18" i="2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6" i="7"/>
  <c r="BC7"/>
  <c r="BU39" i="4" l="1"/>
  <c r="BU11" i="3"/>
  <c r="BU20" s="1"/>
  <c r="BU25" s="1"/>
  <c r="BU16" i="4"/>
  <c r="BU25" s="1"/>
  <c r="BF32" i="6"/>
  <c r="BB38" i="2"/>
  <c r="AX24"/>
  <c r="AT24"/>
  <c r="AS24"/>
  <c r="AL39"/>
  <c r="AJ36" l="1"/>
  <c r="AI36"/>
  <c r="AH36"/>
  <c r="AG36"/>
  <c r="AB38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8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8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8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6"/>
  <c r="BM21" i="1"/>
  <c r="BL11"/>
  <c r="BL14" s="1"/>
  <c r="BL16" s="1"/>
  <c r="BL19" s="1"/>
  <c r="BB36" i="2" s="1"/>
  <c r="BM16" i="4"/>
  <c r="BO16" s="1"/>
  <c r="BM39"/>
  <c r="BC35" i="6"/>
  <c r="BB14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8" s="1"/>
  <c r="BH29" i="1" s="1"/>
  <c r="AY16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3" i="2"/>
  <c r="AX28" s="1"/>
  <c r="BG29" i="1" s="1"/>
  <c r="AX16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8" s="1"/>
  <c r="BF29" i="1" s="1"/>
  <c r="AW16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8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3" i="2"/>
  <c r="AS16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8" s="1"/>
  <c r="AR16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8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8" s="1"/>
  <c r="AW37" i="4"/>
  <c r="AW31"/>
  <c r="AM12" i="7"/>
  <c r="AN23" i="2"/>
  <c r="AN28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8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8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8" s="1"/>
  <c r="AI23"/>
  <c r="AI28" s="1"/>
  <c r="AH23"/>
  <c r="AG23"/>
  <c r="AG28" s="1"/>
  <c r="AJ16"/>
  <c r="AI16"/>
  <c r="AH16"/>
  <c r="AH18" s="1"/>
  <c r="AG16"/>
  <c r="AJ9"/>
  <c r="AJ18" s="1"/>
  <c r="AI9"/>
  <c r="AI18" s="1"/>
  <c r="AG9"/>
  <c r="AG18" s="1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8" s="1"/>
  <c r="AD23"/>
  <c r="AD28"/>
  <c r="AC23"/>
  <c r="AC28" s="1"/>
  <c r="AB23"/>
  <c r="AB28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Y16"/>
  <c r="Y18" s="1"/>
  <c r="Z16"/>
  <c r="D18"/>
  <c r="F18"/>
  <c r="Z18"/>
  <c r="C23"/>
  <c r="C28" s="1"/>
  <c r="D23"/>
  <c r="E23"/>
  <c r="E28" s="1"/>
  <c r="F23"/>
  <c r="F28" s="1"/>
  <c r="H23"/>
  <c r="H28" s="1"/>
  <c r="I23"/>
  <c r="I28" s="1"/>
  <c r="J23"/>
  <c r="J28" s="1"/>
  <c r="K23"/>
  <c r="K28" s="1"/>
  <c r="M23"/>
  <c r="M28" s="1"/>
  <c r="N23"/>
  <c r="N28" s="1"/>
  <c r="O23"/>
  <c r="O28" s="1"/>
  <c r="P23"/>
  <c r="R23"/>
  <c r="R28" s="1"/>
  <c r="S23"/>
  <c r="S28" s="1"/>
  <c r="T23"/>
  <c r="U23"/>
  <c r="W23"/>
  <c r="W28" s="1"/>
  <c r="X23"/>
  <c r="Y23"/>
  <c r="Y28" s="1"/>
  <c r="Z23"/>
  <c r="Z28" s="1"/>
  <c r="D28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X18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8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8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Z39" l="1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8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BB11" i="7"/>
  <c r="BB5" s="1"/>
  <c r="BB6" s="1"/>
  <c r="AT39" i="4"/>
  <c r="BI13"/>
  <c r="AX13" i="7" s="1"/>
  <c r="BF39" i="4"/>
  <c r="BC25" i="6"/>
  <c r="BC27" s="1"/>
  <c r="BC16"/>
  <c r="BA13" i="7"/>
  <c r="M13" i="4"/>
  <c r="BB16" i="6"/>
  <c r="BB23" s="1"/>
  <c r="BM25" i="4"/>
  <c r="BC31" i="6"/>
  <c r="F1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8"/>
  <c r="P28"/>
  <c r="X28"/>
  <c r="AS28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6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6" i="2"/>
  <c r="BF21" i="1"/>
  <c r="R35" i="6"/>
  <c r="R25"/>
  <c r="Q11" i="7"/>
  <c r="Q5" s="1"/>
  <c r="AN36" i="2"/>
  <c r="AU21" i="1"/>
  <c r="AH11" i="7"/>
  <c r="AH5" s="1"/>
  <c r="H25" i="6"/>
  <c r="AX36" i="2"/>
  <c r="BG21" i="1"/>
  <c r="AY36" i="2"/>
  <c r="BH21" i="1"/>
  <c r="S11" i="7"/>
  <c r="S5" s="1"/>
  <c r="AX35" i="6"/>
  <c r="AW11" i="7"/>
  <c r="AW5" s="1"/>
  <c r="AX25" i="6"/>
  <c r="AJ35"/>
  <c r="AI11" i="7"/>
  <c r="AI5" s="1"/>
  <c r="AJ25" i="6"/>
  <c r="AM36" i="2"/>
  <c r="AT21" i="1"/>
  <c r="AO36" i="2"/>
  <c r="AV21" i="1"/>
  <c r="AC14" i="7" l="1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6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5" i="2"/>
  <c r="C41" s="1"/>
  <c r="D33" s="1"/>
  <c r="D35" s="1"/>
  <c r="D41" s="1"/>
  <c r="E33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5" i="2" l="1"/>
  <c r="E41" s="1"/>
  <c r="F33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5" i="2" l="1"/>
  <c r="F41" s="1"/>
  <c r="H33" s="1"/>
  <c r="H35" s="1"/>
  <c r="H41" s="1"/>
  <c r="I33" s="1"/>
  <c r="I35" s="1"/>
  <c r="I41" s="1"/>
  <c r="J33" s="1"/>
  <c r="J35" s="1"/>
  <c r="J41" s="1"/>
  <c r="K33" s="1"/>
  <c r="K35" s="1"/>
  <c r="K41" s="1"/>
  <c r="M33" s="1"/>
  <c r="M35" s="1"/>
  <c r="M41" s="1"/>
  <c r="N33" s="1"/>
  <c r="N35" s="1"/>
  <c r="N41" s="1"/>
  <c r="O33" s="1"/>
  <c r="O35" s="1"/>
  <c r="O41" s="1"/>
  <c r="P33" s="1"/>
  <c r="P35" s="1"/>
  <c r="P41" s="1"/>
  <c r="R33" s="1"/>
  <c r="R35" s="1"/>
  <c r="R41" s="1"/>
  <c r="S33" s="1"/>
  <c r="S35" s="1"/>
  <c r="S41" s="1"/>
  <c r="T33" s="1"/>
  <c r="T35" s="1"/>
  <c r="T41" s="1"/>
  <c r="U33" s="1"/>
  <c r="U35" s="1"/>
  <c r="U41" s="1"/>
  <c r="W33" s="1"/>
  <c r="W35" s="1"/>
  <c r="W41" s="1"/>
  <c r="X33" s="1"/>
  <c r="X35" s="1"/>
  <c r="X41" s="1"/>
  <c r="Y33" s="1"/>
  <c r="Y35" s="1"/>
  <c r="Y41" s="1"/>
  <c r="Z33" s="1"/>
  <c r="Z35" s="1"/>
  <c r="Z41" s="1"/>
  <c r="AB33" s="1"/>
  <c r="AB35" s="1"/>
  <c r="AB41" s="1"/>
  <c r="AC33" s="1"/>
  <c r="AC35" s="1"/>
  <c r="AC41" s="1"/>
  <c r="AD33" s="1"/>
  <c r="AD35" s="1"/>
  <c r="AD41" s="1"/>
  <c r="AE33" s="1"/>
  <c r="AE35" s="1"/>
  <c r="AE41" s="1"/>
  <c r="AG33" s="1"/>
  <c r="AG35" s="1"/>
  <c r="AG41" s="1"/>
  <c r="AH33" s="1"/>
  <c r="AH35" s="1"/>
  <c r="AH41" s="1"/>
  <c r="AI33" s="1"/>
  <c r="AI35" s="1"/>
  <c r="AI41" s="1"/>
  <c r="AJ33" s="1"/>
  <c r="AJ35" s="1"/>
  <c r="AJ41" s="1"/>
  <c r="AL33" s="1"/>
  <c r="AL35" s="1"/>
  <c r="AL41" s="1"/>
  <c r="AM33" s="1"/>
  <c r="AM35" s="1"/>
  <c r="AM41" s="1"/>
  <c r="AN33" s="1"/>
  <c r="AN35" s="1"/>
  <c r="AN41" s="1"/>
  <c r="AO33" s="1"/>
  <c r="AO35" s="1"/>
  <c r="AO41" s="1"/>
  <c r="AQ33" s="1"/>
  <c r="AQ35" s="1"/>
  <c r="AQ41" s="1"/>
  <c r="AR33" s="1"/>
  <c r="AR35" s="1"/>
  <c r="AR41" s="1"/>
  <c r="AS33" s="1"/>
  <c r="AS35" s="1"/>
  <c r="AS41" s="1"/>
  <c r="AT33" s="1"/>
  <c r="AT35" s="1"/>
  <c r="AT41" s="1"/>
  <c r="AV33" s="1"/>
  <c r="AV35" s="1"/>
  <c r="AV41" s="1"/>
  <c r="AW33" s="1"/>
  <c r="AW35" s="1"/>
  <c r="AW41" s="1"/>
  <c r="AX33" s="1"/>
  <c r="AX35" s="1"/>
  <c r="AX41" s="1"/>
  <c r="AY33" s="1"/>
  <c r="AY35" s="1"/>
  <c r="AY41" s="1"/>
  <c r="BA33" s="1"/>
  <c r="BA35" s="1"/>
  <c r="BA41" s="1"/>
  <c r="BB33" s="1"/>
  <c r="BB35" s="1"/>
  <c r="BB41" s="1"/>
  <c r="BC33" s="1"/>
  <c r="BC35" s="1"/>
  <c r="BC41" s="1"/>
  <c r="BD33" s="1"/>
  <c r="BD35" s="1"/>
  <c r="BD41" s="1"/>
  <c r="BF33" s="1"/>
  <c r="BF35" s="1"/>
  <c r="BF41" s="1"/>
  <c r="BG33" s="1"/>
  <c r="BG35" s="1"/>
  <c r="BG41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</calcChain>
</file>

<file path=xl/sharedStrings.xml><?xml version="1.0" encoding="utf-8"?>
<sst xmlns="http://schemas.openxmlformats.org/spreadsheetml/2006/main" count="661" uniqueCount="225">
  <si>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</si>
  <si>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</si>
  <si>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</si>
  <si>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</si>
  <si>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</si>
  <si>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</si>
  <si>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</si>
  <si>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</si>
  <si>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</si>
  <si>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</si>
  <si>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</si>
  <si>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</si>
  <si>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</si>
  <si>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</si>
  <si>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</si>
  <si>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</si>
  <si>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</si>
  <si>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</si>
  <si>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</si>
  <si>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</si>
  <si>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</si>
  <si>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</si>
  <si>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</si>
  <si>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</si>
  <si>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</si>
  <si>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</si>
  <si>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</si>
  <si>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</si>
  <si>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</si>
  <si>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</si>
  <si>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</si>
  <si>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</si>
  <si>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</si>
  <si>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</si>
  <si>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</si>
  <si>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</si>
  <si>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</si>
  <si>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</si>
  <si>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</si>
  <si>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</si>
  <si>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</si>
  <si>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</si>
  <si>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</si>
  <si>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</si>
  <si>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</si>
  <si>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</si>
  <si>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</si>
  <si>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</si>
  <si>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</si>
  <si>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</si>
  <si>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</si>
  <si>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</si>
  <si>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</si>
  <si>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</si>
  <si>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</si>
  <si>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</si>
  <si>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</si>
  <si>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</si>
  <si>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</si>
  <si>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</si>
  <si>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</si>
  <si>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</si>
  <si>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</si>
  <si>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</si>
  <si>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</si>
  <si>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</si>
  <si>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</si>
  <si>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</si>
  <si>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</si>
  <si>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</si>
  <si>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</si>
  <si>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</si>
  <si>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</si>
  <si>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</si>
  <si>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</si>
  <si>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</si>
  <si>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</si>
  <si>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</si>
  <si>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</si>
  <si>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</si>
  <si>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</si>
  <si>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</si>
  <si>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</si>
  <si>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</si>
  <si>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</si>
  <si>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</si>
  <si>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</si>
  <si>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</si>
  <si>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</si>
  <si>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</si>
  <si>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</si>
  <si>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</si>
  <si>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</si>
  <si>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</si>
  <si>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</si>
  <si>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</si>
  <si>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</si>
  <si>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</si>
  <si>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</si>
  <si>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</si>
  <si>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</si>
  <si>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</si>
  <si>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</si>
  <si>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</si>
  <si>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</si>
  <si>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</si>
  <si>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</si>
  <si>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</si>
  <si>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</si>
  <si>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</si>
  <si>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</si>
  <si>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</si>
  <si>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</si>
  <si>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</si>
  <si>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</si>
  <si>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</si>
  <si>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</si>
  <si>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</si>
  <si>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</si>
  <si>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</si>
  <si>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</si>
  <si>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</si>
  <si>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</si>
  <si>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</si>
  <si>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</si>
  <si>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</si>
  <si>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</si>
  <si>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</si>
  <si>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</si>
  <si>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</si>
  <si>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</si>
  <si>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</si>
  <si>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</si>
  <si>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</si>
  <si>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</si>
  <si>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</si>
  <si>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</si>
  <si>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</si>
  <si>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</si>
  <si>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</si>
  <si>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</si>
  <si>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</si>
  <si>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</si>
  <si>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</si>
  <si>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</si>
  <si>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</si>
  <si>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</si>
  <si>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</si>
  <si>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</si>
  <si>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</si>
  <si>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</si>
  <si>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</si>
  <si>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</si>
  <si>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</si>
  <si>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</si>
  <si>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</si>
  <si>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</si>
  <si>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</si>
  <si>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</si>
  <si>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</si>
  <si>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</si>
  <si>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</si>
  <si>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</si>
  <si>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</si>
  <si>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</si>
  <si>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</si>
  <si>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</si>
  <si>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</si>
  <si>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</si>
  <si>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</si>
  <si>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</si>
  <si>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</si>
  <si>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</si>
  <si>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</si>
  <si>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</si>
  <si>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</si>
  <si>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</si>
  <si>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</si>
  <si>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</si>
  <si>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Minority interests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</si>
  <si>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</si>
  <si>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</si>
  <si>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</si>
  <si>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</si>
  <si>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</si>
  <si>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</si>
  <si>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</si>
  <si>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</si>
  <si>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</si>
  <si>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</si>
  <si>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</si>
  <si>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</si>
  <si>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</si>
  <si>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</si>
  <si>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</si>
  <si>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</si>
  <si>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</si>
  <si>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</si>
  <si>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</si>
  <si>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</si>
  <si>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</si>
  <si>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</si>
  <si>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</si>
  <si>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</si>
  <si>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</si>
  <si>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</si>
  <si>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</si>
  <si>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</si>
  <si>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</si>
  <si>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</si>
  <si>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</si>
  <si>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</si>
  <si>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</si>
  <si>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2005 to 2016</t>
  </si>
  <si>
    <t>2016</t>
  </si>
  <si>
    <t>of 7.45</t>
  </si>
  <si>
    <t>Amounts reported in DKKm before 2016 are</t>
  </si>
  <si>
    <t>converted to EURm with at a fixed exchange rate</t>
  </si>
  <si>
    <t>Share buyback / warrants etc.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</si>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</sst>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Fill="1" applyBorder="1"/>
    <xf numFmtId="166" fontId="3" fillId="0" borderId="0" xfId="2" applyNumberFormat="1" applyFont="1" applyBorder="1" applyAlignment="1">
      <alignment horizontal="right"/>
    </xf>
    <xf numFmtId="166" fontId="3" fillId="6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15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59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Graph'!$AA$3:$BF$3</c:f>
              <c:strCache>
                <c:ptCount val="32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</c:strCache>
            </c:strRef>
          </c:cat>
          <c:val>
            <c:numRef>
              <c:f>'Oper EBITDA Graph'!$AA$5:$BF$5</c:f>
              <c:numCache>
                <c:formatCode>#,##0;\-#,##0</c:formatCode>
                <c:ptCount val="32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</c:numCache>
            </c:numRef>
          </c:val>
        </c:ser>
        <c:gapWidth val="75"/>
        <c:overlap val="-25"/>
        <c:axId val="112592000"/>
        <c:axId val="112593920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Graph'!$AA$6:$BF$6</c:f>
              <c:numCache>
                <c:formatCode>0.0%</c:formatCode>
                <c:ptCount val="32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Graph'!$AA$7:$BF$7</c:f>
              <c:numCache>
                <c:formatCode>0.0%</c:formatCode>
                <c:ptCount val="32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</c:numCache>
            </c:numRef>
          </c:val>
        </c:ser>
        <c:marker val="1"/>
        <c:axId val="112612096"/>
        <c:axId val="112613632"/>
      </c:lineChart>
      <c:catAx>
        <c:axId val="1125920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93920"/>
        <c:crosses val="autoZero"/>
        <c:lblAlgn val="ctr"/>
        <c:lblOffset val="100"/>
        <c:tickLblSkip val="1"/>
        <c:tickMarkSkip val="1"/>
      </c:catAx>
      <c:valAx>
        <c:axId val="112593920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92000"/>
        <c:crosses val="autoZero"/>
        <c:crossBetween val="between"/>
      </c:valAx>
      <c:catAx>
        <c:axId val="112612096"/>
        <c:scaling>
          <c:orientation val="minMax"/>
        </c:scaling>
        <c:delete val="1"/>
        <c:axPos val="b"/>
        <c:tickLblPos val="none"/>
        <c:crossAx val="112613632"/>
        <c:crosses val="autoZero"/>
        <c:lblAlgn val="ctr"/>
        <c:lblOffset val="100"/>
      </c:catAx>
      <c:valAx>
        <c:axId val="112613632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2096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01" r="0.7500000000000101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283368</xdr:colOff>
      <xdr:row>15</xdr:row>
      <xdr:rowOff>101600</xdr:rowOff>
    </xdr:from>
    <xdr:to>
      <xdr:col>54</xdr:col>
      <xdr:colOff>584200</xdr:colOff>
      <xdr:row>41</xdr:row>
      <xdr:rowOff>37306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368300</xdr:colOff>
      <xdr:row>17</xdr:row>
      <xdr:rowOff>117475</xdr:rowOff>
    </xdr:from>
    <xdr:to>
      <xdr:col>54</xdr:col>
      <xdr:colOff>539750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5850850" y="291782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63501</xdr:rowOff>
    </xdr:from>
    <xdr:to>
      <xdr:col>59</xdr:col>
      <xdr:colOff>565150</xdr:colOff>
      <xdr:row>41</xdr:row>
      <xdr:rowOff>69850</xdr:rowOff>
    </xdr:to>
    <xdr:cxnSp macro="">
      <xdr:nvCxnSpPr>
        <xdr:cNvPr id="5" name="Straight Connector 4"/>
        <xdr:cNvCxnSpPr/>
      </xdr:nvCxnSpPr>
      <xdr:spPr>
        <a:xfrm>
          <a:off x="22926675" y="6673851"/>
          <a:ext cx="12646025" cy="6349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M44" sqref="M44"/>
    </sheetView>
  </sheetViews>
  <sheetFormatPr defaultColWidth="9.140625" defaultRowHeight="12.75"/>
  <cols>
    <col min="1" max="10" width="9.140625" style="2"/>
    <col min="11" max="11" width="17.42578125" style="2" customWidth="1"/>
    <col min="12" max="16384" width="9.140625" style="2"/>
  </cols>
  <sheetData>
    <row r="9" spans="3:12" ht="44.25">
      <c r="D9" s="228" t="s">
        <v>34</v>
      </c>
      <c r="E9" s="228"/>
      <c r="F9" s="228"/>
      <c r="G9" s="228"/>
      <c r="H9" s="228"/>
      <c r="I9" s="228"/>
      <c r="J9" s="228"/>
      <c r="K9" s="228"/>
    </row>
    <row r="10" spans="3:12" ht="44.25">
      <c r="D10" s="228" t="s">
        <v>153</v>
      </c>
      <c r="E10" s="228"/>
      <c r="F10" s="228"/>
      <c r="G10" s="228"/>
      <c r="H10" s="228"/>
      <c r="I10" s="228"/>
      <c r="J10" s="228"/>
      <c r="K10" s="228"/>
    </row>
    <row r="11" spans="3:12" ht="44.25">
      <c r="D11" s="228" t="s">
        <v>213</v>
      </c>
      <c r="E11" s="228"/>
      <c r="F11" s="228"/>
      <c r="G11" s="228"/>
      <c r="H11" s="228"/>
      <c r="I11" s="228"/>
      <c r="J11" s="228"/>
      <c r="K11" s="228"/>
    </row>
    <row r="12" spans="3:12" ht="44.25">
      <c r="D12" s="228" t="s">
        <v>38</v>
      </c>
      <c r="E12" s="228"/>
      <c r="F12" s="228"/>
      <c r="G12" s="228"/>
      <c r="H12" s="228"/>
      <c r="I12" s="228"/>
      <c r="J12" s="228"/>
      <c r="K12" s="228"/>
      <c r="L12" s="41"/>
    </row>
    <row r="13" spans="3:12" ht="12.75" customHeight="1">
      <c r="L13" s="41"/>
    </row>
    <row r="14" spans="3:12" ht="12.75" customHeight="1">
      <c r="C14" s="42" t="s">
        <v>54</v>
      </c>
    </row>
    <row r="15" spans="3:12" ht="12.75" customHeight="1">
      <c r="C15" s="42" t="s">
        <v>54</v>
      </c>
    </row>
    <row r="21" spans="3:23">
      <c r="E21" s="5" t="s">
        <v>106</v>
      </c>
    </row>
    <row r="22" spans="3:23">
      <c r="E22" s="43" t="s">
        <v>141</v>
      </c>
    </row>
    <row r="23" spans="3:23">
      <c r="E23" s="43" t="s">
        <v>171</v>
      </c>
    </row>
    <row r="24" spans="3:23">
      <c r="E24" s="2" t="s">
        <v>79</v>
      </c>
    </row>
    <row r="25" spans="3:23">
      <c r="E25" s="2" t="s">
        <v>142</v>
      </c>
    </row>
    <row r="29" spans="3:23">
      <c r="C29" s="2" t="s">
        <v>54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0"/>
  <sheetViews>
    <sheetView showGridLines="0" zoomScaleNormal="100" zoomScaleSheetLayoutView="75" workbookViewId="0">
      <pane xSplit="1" ySplit="3" topLeftCell="AX16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BO60" sqref="BO60"/>
    </sheetView>
  </sheetViews>
  <sheetFormatPr defaultColWidth="9.140625" defaultRowHeight="12.75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75">
      <c r="C1" s="230" t="s">
        <v>80</v>
      </c>
      <c r="D1" s="230"/>
      <c r="E1" s="230"/>
      <c r="F1" s="230"/>
      <c r="G1" s="230"/>
      <c r="I1" s="230" t="s">
        <v>80</v>
      </c>
      <c r="J1" s="230"/>
      <c r="K1" s="230"/>
      <c r="L1" s="230"/>
      <c r="M1" s="230"/>
      <c r="O1" s="230" t="s">
        <v>80</v>
      </c>
      <c r="P1" s="230"/>
      <c r="Q1" s="230"/>
      <c r="R1" s="230"/>
      <c r="S1" s="230"/>
      <c r="U1" s="230" t="s">
        <v>80</v>
      </c>
      <c r="V1" s="230"/>
      <c r="W1" s="230"/>
      <c r="X1" s="230"/>
      <c r="Y1" s="230"/>
      <c r="AA1" s="230" t="s">
        <v>80</v>
      </c>
      <c r="AB1" s="230"/>
      <c r="AC1" s="230"/>
      <c r="AD1" s="230"/>
      <c r="AE1" s="230"/>
      <c r="AG1" s="230" t="s">
        <v>80</v>
      </c>
      <c r="AH1" s="230"/>
      <c r="AI1" s="230"/>
      <c r="AJ1" s="230"/>
      <c r="AK1" s="230"/>
      <c r="AM1" s="230" t="s">
        <v>80</v>
      </c>
      <c r="AN1" s="230"/>
      <c r="AO1" s="230"/>
      <c r="AP1" s="230"/>
      <c r="AQ1" s="230"/>
      <c r="AS1" s="230" t="s">
        <v>80</v>
      </c>
      <c r="AT1" s="230"/>
      <c r="AU1" s="230"/>
      <c r="AV1" s="230"/>
      <c r="AW1" s="230"/>
      <c r="AY1" s="230" t="s">
        <v>80</v>
      </c>
      <c r="AZ1" s="230"/>
      <c r="BA1" s="230"/>
      <c r="BB1" s="230"/>
      <c r="BC1" s="230"/>
      <c r="BE1" s="230" t="s">
        <v>80</v>
      </c>
      <c r="BF1" s="230"/>
      <c r="BG1" s="230"/>
      <c r="BH1" s="230"/>
      <c r="BI1" s="230"/>
      <c r="BK1" s="230" t="s">
        <v>80</v>
      </c>
      <c r="BL1" s="230"/>
      <c r="BM1" s="230"/>
      <c r="BN1" s="230"/>
      <c r="BO1" s="230"/>
      <c r="BQ1" s="230" t="s">
        <v>80</v>
      </c>
      <c r="BR1" s="230"/>
      <c r="BS1" s="230"/>
      <c r="BT1" s="230"/>
      <c r="BU1" s="230"/>
    </row>
    <row r="2" spans="1:75">
      <c r="A2" s="1" t="s">
        <v>34</v>
      </c>
      <c r="C2" s="229">
        <v>2005</v>
      </c>
      <c r="D2" s="229"/>
      <c r="E2" s="229"/>
      <c r="F2" s="229"/>
      <c r="G2" s="229"/>
      <c r="I2" s="229">
        <v>2006</v>
      </c>
      <c r="J2" s="229"/>
      <c r="K2" s="229"/>
      <c r="L2" s="229"/>
      <c r="M2" s="229"/>
      <c r="O2" s="229">
        <v>2007</v>
      </c>
      <c r="P2" s="229"/>
      <c r="Q2" s="229"/>
      <c r="R2" s="229"/>
      <c r="S2" s="229"/>
      <c r="U2" s="229">
        <v>2008</v>
      </c>
      <c r="V2" s="229"/>
      <c r="W2" s="229"/>
      <c r="X2" s="229"/>
      <c r="Y2" s="229"/>
      <c r="AA2" s="229">
        <v>2009</v>
      </c>
      <c r="AB2" s="229"/>
      <c r="AC2" s="229"/>
      <c r="AD2" s="229"/>
      <c r="AE2" s="229"/>
      <c r="AG2" s="229">
        <v>2010</v>
      </c>
      <c r="AH2" s="229"/>
      <c r="AI2" s="229"/>
      <c r="AJ2" s="229"/>
      <c r="AK2" s="229"/>
      <c r="AM2" s="229">
        <v>2011</v>
      </c>
      <c r="AN2" s="229"/>
      <c r="AO2" s="229"/>
      <c r="AP2" s="229"/>
      <c r="AQ2" s="229"/>
      <c r="AS2" s="229">
        <v>2012</v>
      </c>
      <c r="AT2" s="229"/>
      <c r="AU2" s="229"/>
      <c r="AV2" s="229"/>
      <c r="AW2" s="229"/>
      <c r="AY2" s="229">
        <v>2013</v>
      </c>
      <c r="AZ2" s="229"/>
      <c r="BA2" s="229"/>
      <c r="BB2" s="229"/>
      <c r="BC2" s="229"/>
      <c r="BE2" s="229">
        <v>2014</v>
      </c>
      <c r="BF2" s="229"/>
      <c r="BG2" s="229"/>
      <c r="BH2" s="229"/>
      <c r="BI2" s="229"/>
      <c r="BK2" s="229">
        <v>2015</v>
      </c>
      <c r="BL2" s="229"/>
      <c r="BM2" s="229"/>
      <c r="BN2" s="229"/>
      <c r="BO2" s="229"/>
      <c r="BQ2" s="229">
        <v>2016</v>
      </c>
      <c r="BR2" s="229"/>
      <c r="BS2" s="229"/>
      <c r="BT2" s="229"/>
      <c r="BU2" s="229"/>
    </row>
    <row r="3" spans="1:75" s="59" customFormat="1" ht="13.5" thickBot="1">
      <c r="A3" s="57" t="s">
        <v>176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  <c r="BQ3" s="58" t="s">
        <v>10</v>
      </c>
      <c r="BR3" s="58" t="s">
        <v>11</v>
      </c>
      <c r="BS3" s="58" t="s">
        <v>12</v>
      </c>
      <c r="BT3" s="58" t="s">
        <v>13</v>
      </c>
      <c r="BU3" s="58" t="s">
        <v>14</v>
      </c>
    </row>
    <row r="4" spans="1:75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  <c r="BU4" s="46"/>
    </row>
    <row r="5" spans="1:75" s="52" customFormat="1" ht="18.75" customHeight="1">
      <c r="A5" s="52" t="s">
        <v>206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  <c r="BP5" s="114"/>
      <c r="BQ5" s="114">
        <f>+'Segment Data'!BQ13</f>
        <v>485.59999999999997</v>
      </c>
      <c r="BR5" s="114">
        <v>553.20000000000005</v>
      </c>
      <c r="BS5" s="114"/>
      <c r="BT5" s="114"/>
      <c r="BU5" s="115">
        <f>SUM(BQ5:BT5)</f>
        <v>1038.8</v>
      </c>
    </row>
    <row r="6" spans="1:75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  <c r="BQ6" s="7"/>
      <c r="BR6" s="7"/>
      <c r="BS6" s="7"/>
      <c r="BT6" s="7"/>
      <c r="BU6" s="47"/>
    </row>
    <row r="7" spans="1:75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>
        <f>+'Segment Data'!BQ38</f>
        <v>35.900999999999996</v>
      </c>
      <c r="BR7" s="117">
        <v>50.8</v>
      </c>
      <c r="BS7" s="117"/>
      <c r="BT7" s="117"/>
      <c r="BU7" s="116">
        <f>SUM(BQ7:BT7)</f>
        <v>86.700999999999993</v>
      </c>
      <c r="BV7" s="117"/>
      <c r="BW7" s="117"/>
    </row>
    <row r="8" spans="1:75">
      <c r="A8" s="2" t="s">
        <v>51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>
        <v>-11.7</v>
      </c>
      <c r="BR8" s="31">
        <v>-12</v>
      </c>
      <c r="BS8" s="31"/>
      <c r="BT8" s="126"/>
      <c r="BU8" s="116">
        <f>SUM(BQ8:BT8)</f>
        <v>-23.7</v>
      </c>
      <c r="BV8" s="31"/>
      <c r="BW8" s="31"/>
    </row>
    <row r="9" spans="1:75">
      <c r="A9" s="2" t="s">
        <v>154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>
        <v>-8</v>
      </c>
      <c r="BR9" s="31">
        <v>-8.5</v>
      </c>
      <c r="BS9" s="31"/>
      <c r="BT9" s="126"/>
      <c r="BU9" s="116">
        <f>SUM(BQ9:BT9)</f>
        <v>-16.5</v>
      </c>
      <c r="BV9" s="31"/>
      <c r="BW9" s="31"/>
    </row>
    <row r="10" spans="1:75" s="60" customFormat="1">
      <c r="A10" s="60" t="s">
        <v>159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>
        <v>0</v>
      </c>
      <c r="BR10" s="118">
        <v>0</v>
      </c>
      <c r="BS10" s="118"/>
      <c r="BT10" s="127"/>
      <c r="BU10" s="119">
        <f>SUM(BQ10:BT10)</f>
        <v>0</v>
      </c>
      <c r="BV10" s="118"/>
      <c r="BW10" s="118"/>
    </row>
    <row r="11" spans="1:75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28">
        <f>SUM(BQ7:BQ10)</f>
        <v>16.200999999999997</v>
      </c>
      <c r="BR11" s="128">
        <f>SUM(BR7:BR10)</f>
        <v>30.299999999999997</v>
      </c>
      <c r="BS11" s="128"/>
      <c r="BT11" s="128"/>
      <c r="BU11" s="129">
        <f>SUM(BU7:BU10)</f>
        <v>46.500999999999991</v>
      </c>
      <c r="BV11" s="117"/>
      <c r="BW11" s="117"/>
    </row>
    <row r="12" spans="1:75" hidden="1">
      <c r="A12" s="2" t="s">
        <v>50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116">
        <f>SUM(BQ12:BT12)</f>
        <v>0</v>
      </c>
      <c r="BV12" s="31"/>
      <c r="BW12" s="31"/>
    </row>
    <row r="13" spans="1:75" s="60" customFormat="1">
      <c r="A13" s="60" t="s">
        <v>160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>
        <v>0</v>
      </c>
      <c r="BR13" s="118">
        <v>0</v>
      </c>
      <c r="BS13" s="118"/>
      <c r="BT13" s="118"/>
      <c r="BU13" s="119">
        <f>SUM(BQ13:BT13)</f>
        <v>0</v>
      </c>
      <c r="BV13" s="118"/>
      <c r="BW13" s="118"/>
    </row>
    <row r="14" spans="1:75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>
        <f>SUM(BQ11:BQ13)</f>
        <v>16.200999999999997</v>
      </c>
      <c r="BR14" s="117">
        <f>SUM(BR11:BR13)</f>
        <v>30.299999999999997</v>
      </c>
      <c r="BS14" s="117"/>
      <c r="BT14" s="117"/>
      <c r="BU14" s="116">
        <f>SUM(BU11:BU13)</f>
        <v>46.500999999999991</v>
      </c>
      <c r="BV14" s="117"/>
      <c r="BW14" s="117"/>
    </row>
    <row r="15" spans="1:75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>
        <v>-1.2</v>
      </c>
      <c r="BR15" s="118">
        <v>-2.9</v>
      </c>
      <c r="BS15" s="118"/>
      <c r="BT15" s="118"/>
      <c r="BU15" s="119">
        <f>SUM(BQ15:BT15)</f>
        <v>-4.0999999999999996</v>
      </c>
      <c r="BV15" s="118"/>
      <c r="BW15" s="118"/>
    </row>
    <row r="16" spans="1:75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>
        <f>SUM(BQ14:BQ15)</f>
        <v>15.000999999999998</v>
      </c>
      <c r="BR16" s="117">
        <f>SUM(BR14:BR15)</f>
        <v>27.4</v>
      </c>
      <c r="BS16" s="117"/>
      <c r="BT16" s="117"/>
      <c r="BU16" s="116">
        <f>SUM(BU14:BU15)</f>
        <v>42.400999999999989</v>
      </c>
      <c r="BV16" s="117"/>
      <c r="BW16" s="117"/>
    </row>
    <row r="17" spans="1:75" s="5" customFormat="1" ht="12.75" customHeight="1">
      <c r="A17" s="2" t="s">
        <v>81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54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31"/>
      <c r="BR17" s="31"/>
      <c r="BS17" s="31"/>
      <c r="BT17" s="31"/>
      <c r="BU17" s="125">
        <f>SUM(BQ17:BT17)</f>
        <v>0</v>
      </c>
      <c r="BV17" s="117"/>
      <c r="BW17" s="117"/>
    </row>
    <row r="18" spans="1:75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>
        <v>-4.4000000000000004</v>
      </c>
      <c r="BR18" s="118">
        <v>-7.2</v>
      </c>
      <c r="BS18" s="118"/>
      <c r="BT18" s="118"/>
      <c r="BU18" s="119">
        <f>SUM(BQ18:BT18)</f>
        <v>-11.600000000000001</v>
      </c>
      <c r="BV18" s="118"/>
      <c r="BW18" s="118"/>
    </row>
    <row r="19" spans="1:75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>
        <f>SUM(BQ16:BQ18)</f>
        <v>10.600999999999997</v>
      </c>
      <c r="BR19" s="120">
        <f>SUM(BR16:BR18)</f>
        <v>20.2</v>
      </c>
      <c r="BS19" s="120"/>
      <c r="BT19" s="120"/>
      <c r="BU19" s="121">
        <f>SUM(BU16:BU18)</f>
        <v>30.800999999999988</v>
      </c>
      <c r="BV19" s="120"/>
      <c r="BW19" s="120"/>
    </row>
    <row r="20" spans="1:75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>
        <v>0</v>
      </c>
      <c r="BR20" s="118">
        <v>0</v>
      </c>
      <c r="BS20" s="118"/>
      <c r="BT20" s="118"/>
      <c r="BU20" s="122">
        <f>SUM(BQ20:BT20)</f>
        <v>0</v>
      </c>
      <c r="BV20" s="118"/>
      <c r="BW20" s="118"/>
    </row>
    <row r="21" spans="1:75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3">
        <f>SUM(BQ19:BQ20)</f>
        <v>10.600999999999997</v>
      </c>
      <c r="BR21" s="123">
        <f>SUM(BR19:BR20)</f>
        <v>20.2</v>
      </c>
      <c r="BS21" s="123"/>
      <c r="BT21" s="123"/>
      <c r="BU21" s="124">
        <f>SUM(BU19:BU20)</f>
        <v>30.800999999999988</v>
      </c>
      <c r="BV21" s="120"/>
      <c r="BW21" s="120"/>
    </row>
    <row r="22" spans="1:75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116"/>
      <c r="BV22" s="31"/>
      <c r="BW22" s="31"/>
    </row>
    <row r="23" spans="1:75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116"/>
      <c r="BV23" s="31"/>
      <c r="BW23" s="31"/>
    </row>
    <row r="24" spans="1:75">
      <c r="A24" s="5" t="s">
        <v>207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/>
      <c r="BT24" s="31"/>
      <c r="BU24" s="125">
        <f>SUM(BQ24:BT24)</f>
        <v>911.39999999999986</v>
      </c>
      <c r="BV24" s="31"/>
      <c r="BW24" s="31"/>
    </row>
    <row r="25" spans="1:75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116"/>
      <c r="BV25" s="31"/>
      <c r="BW25" s="31"/>
    </row>
    <row r="26" spans="1:75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0" t="s">
        <v>10</v>
      </c>
      <c r="BR26" s="130" t="s">
        <v>11</v>
      </c>
      <c r="BS26" s="130" t="s">
        <v>12</v>
      </c>
      <c r="BT26" s="130" t="s">
        <v>13</v>
      </c>
      <c r="BU26" s="131"/>
      <c r="BV26" s="132"/>
      <c r="BW26" s="132"/>
    </row>
    <row r="27" spans="1:75">
      <c r="A27" s="2" t="s">
        <v>157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>
        <v>65.400000000000006</v>
      </c>
      <c r="BR27" s="31">
        <v>65.400000000000006</v>
      </c>
      <c r="BS27" s="31"/>
      <c r="BT27" s="31"/>
      <c r="BU27" s="116"/>
      <c r="BV27" s="31"/>
      <c r="BW27" s="31"/>
    </row>
    <row r="28" spans="1:75">
      <c r="A28" s="2" t="s">
        <v>158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116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>
        <v>802.1</v>
      </c>
      <c r="BR28" s="31">
        <v>801.7</v>
      </c>
      <c r="BS28" s="31"/>
      <c r="BT28" s="31"/>
      <c r="BU28" s="116"/>
      <c r="BV28" s="31"/>
      <c r="BW28" s="31"/>
    </row>
    <row r="29" spans="1:7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Sheet'!AS28)/7.45</f>
        <v>243.84487185261926</v>
      </c>
      <c r="BB29" s="31">
        <v>1744.2953020134228</v>
      </c>
      <c r="BC29" s="116"/>
      <c r="BD29" s="31"/>
      <c r="BE29" s="31">
        <f>(+'Balance Sheet'!AV28)/7.45</f>
        <v>236.71005810549073</v>
      </c>
      <c r="BF29" s="31">
        <f>(+'Balance Sheet'!AW28)/7.45</f>
        <v>235.14256114589432</v>
      </c>
      <c r="BG29" s="31">
        <f>(+'Balance Sheet'!AX28)/7.45</f>
        <v>242.00711679654069</v>
      </c>
      <c r="BH29" s="31">
        <f>(+'Balance Sheet'!AY28)/7.45</f>
        <v>222.29629295977659</v>
      </c>
      <c r="BI29" s="116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>
        <f>+'Balance Sheet'!BF18</f>
        <v>1736.4</v>
      </c>
      <c r="BR29" s="31">
        <v>1787.2</v>
      </c>
      <c r="BS29" s="31"/>
      <c r="BT29" s="31"/>
      <c r="BU29" s="116"/>
      <c r="BV29" s="31"/>
      <c r="BW29" s="31"/>
    </row>
    <row r="30" spans="1:75">
      <c r="A30" s="2" t="s">
        <v>208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>
        <v>-158.9</v>
      </c>
      <c r="BR30" s="31">
        <v>-188.2</v>
      </c>
      <c r="BS30" s="31"/>
      <c r="BT30" s="31"/>
      <c r="BU30" s="116"/>
      <c r="BV30" s="31"/>
      <c r="BW30" s="31"/>
    </row>
    <row r="31" spans="1:75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116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116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>
        <f>(+'Segment Data'!BQ78)</f>
        <v>974.9</v>
      </c>
      <c r="BR31" s="31">
        <f>(+'Segment Data'!BR78)</f>
        <v>989.9</v>
      </c>
      <c r="BS31" s="31"/>
      <c r="BT31" s="31"/>
      <c r="BU31" s="116"/>
      <c r="BV31" s="31"/>
      <c r="BW31" s="31"/>
    </row>
    <row r="32" spans="1:75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116"/>
      <c r="BV32" s="31"/>
      <c r="BW32" s="31"/>
    </row>
    <row r="33" spans="1:75" s="55" customFormat="1">
      <c r="A33" s="53" t="s">
        <v>48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0"/>
      <c r="BR33" s="130"/>
      <c r="BS33" s="130"/>
      <c r="BT33" s="130"/>
      <c r="BU33" s="131"/>
      <c r="BV33" s="133"/>
      <c r="BW33" s="133"/>
    </row>
    <row r="34" spans="1:75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116"/>
      <c r="BV34" s="31"/>
      <c r="BW34" s="31"/>
    </row>
    <row r="35" spans="1:75">
      <c r="A35" s="2" t="s">
        <v>82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126">
        <f>+Cashflow!BQ11</f>
        <v>-9.0990000000000038</v>
      </c>
      <c r="BR35" s="126">
        <f>+Cashflow!BR11</f>
        <v>28.7</v>
      </c>
      <c r="BS35" s="126"/>
      <c r="BT35" s="126"/>
      <c r="BU35" s="116">
        <f>SUM(BQ35:BT35)</f>
        <v>19.600999999999996</v>
      </c>
      <c r="BV35" s="31"/>
      <c r="BW35" s="31"/>
    </row>
    <row r="36" spans="1:75">
      <c r="A36" s="2" t="s">
        <v>83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126">
        <f>+Cashflow!BQ14</f>
        <v>-10.3</v>
      </c>
      <c r="BR36" s="126">
        <f>+Cashflow!BR14</f>
        <v>-6.6</v>
      </c>
      <c r="BS36" s="126"/>
      <c r="BT36" s="126"/>
      <c r="BU36" s="116">
        <f>SUM(BQ36:BT36)</f>
        <v>-16.899999999999999</v>
      </c>
      <c r="BV36" s="31"/>
      <c r="BW36" s="31"/>
    </row>
    <row r="37" spans="1:75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  <c r="BU37" s="46"/>
    </row>
    <row r="38" spans="1:75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  <c r="BQ38" s="64"/>
      <c r="BR38" s="64"/>
      <c r="BS38" s="64"/>
      <c r="BT38" s="64"/>
      <c r="BU38" s="65"/>
    </row>
    <row r="39" spans="1:75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  <c r="BU39" s="46"/>
    </row>
    <row r="40" spans="1:7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54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54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54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  <c r="BQ40" s="10">
        <f>+BQ28/BQ29</f>
        <v>0.46193273439299698</v>
      </c>
      <c r="BR40" s="10">
        <f>+BR28/BR29</f>
        <v>0.44857878245299909</v>
      </c>
      <c r="BS40" s="10"/>
      <c r="BT40" s="10"/>
      <c r="BU40" s="51"/>
    </row>
    <row r="41" spans="1:75" ht="12.75" customHeight="1">
      <c r="A41" s="2" t="s">
        <v>172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  <c r="BQ41" s="13">
        <v>24356</v>
      </c>
      <c r="BR41" s="13">
        <v>24356</v>
      </c>
      <c r="BS41" s="13"/>
      <c r="BT41" s="13"/>
      <c r="BU41" s="46"/>
    </row>
    <row r="42" spans="1:75" ht="12.75" customHeight="1">
      <c r="A42" s="2" t="s">
        <v>222</v>
      </c>
      <c r="G42" s="46"/>
      <c r="M42" s="46"/>
      <c r="O42" s="13"/>
      <c r="P42" s="13"/>
      <c r="Q42" s="13"/>
      <c r="R42" s="13"/>
      <c r="S42" s="46"/>
      <c r="U42" s="13"/>
      <c r="V42" s="13"/>
      <c r="W42" s="13"/>
      <c r="X42" s="13"/>
      <c r="Y42" s="46"/>
      <c r="AA42" s="13"/>
      <c r="AB42" s="14"/>
      <c r="AC42" s="14"/>
      <c r="AD42" s="14"/>
      <c r="AE42" s="46"/>
      <c r="AG42" s="13"/>
      <c r="AH42" s="13"/>
      <c r="AI42" s="14"/>
      <c r="AJ42" s="14"/>
      <c r="AK42" s="46"/>
      <c r="AM42" s="13"/>
      <c r="AN42" s="13"/>
      <c r="AO42" s="13"/>
      <c r="AP42" s="13"/>
      <c r="AQ42" s="46"/>
      <c r="AS42" s="13"/>
      <c r="AT42" s="13"/>
      <c r="AU42" s="13"/>
      <c r="AV42" s="13"/>
      <c r="AW42" s="46"/>
      <c r="AY42" s="13"/>
      <c r="AZ42" s="13"/>
      <c r="BA42" s="13"/>
      <c r="BB42" s="13"/>
      <c r="BC42" s="46"/>
      <c r="BE42" s="13"/>
      <c r="BF42" s="13"/>
      <c r="BG42" s="13"/>
      <c r="BH42" s="13"/>
      <c r="BI42" s="46"/>
      <c r="BK42" s="13"/>
      <c r="BL42" s="13"/>
      <c r="BM42" s="13"/>
      <c r="BN42" s="13">
        <v>77</v>
      </c>
      <c r="BO42" s="46"/>
      <c r="BQ42" s="13">
        <v>176</v>
      </c>
      <c r="BR42" s="13">
        <v>589</v>
      </c>
      <c r="BS42" s="13"/>
      <c r="BT42" s="13"/>
      <c r="BU42" s="46"/>
    </row>
    <row r="43" spans="1:75" ht="12.75" customHeight="1">
      <c r="A43" s="2" t="s">
        <v>177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9">
        <f>SUM(BK43:BN43)</f>
        <v>-4.161073825503353E-2</v>
      </c>
      <c r="BQ43" s="16">
        <v>0.4</v>
      </c>
      <c r="BR43" s="16">
        <v>0.9</v>
      </c>
      <c r="BS43" s="16"/>
      <c r="BT43" s="16"/>
      <c r="BU43" s="49">
        <f>SUM(BQ43:BT43)</f>
        <v>1.3</v>
      </c>
    </row>
    <row r="44" spans="1:75" ht="12.75" customHeight="1">
      <c r="A44" s="2" t="s">
        <v>211</v>
      </c>
      <c r="C44" s="15">
        <v>0</v>
      </c>
      <c r="D44" s="15">
        <v>8</v>
      </c>
      <c r="E44" s="15">
        <v>0</v>
      </c>
      <c r="F44" s="15">
        <v>0</v>
      </c>
      <c r="G44" s="4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9">
        <f>SUM(BK44:BN44)</f>
        <v>4</v>
      </c>
      <c r="BQ44" s="16">
        <v>0</v>
      </c>
      <c r="BR44" s="16">
        <v>4</v>
      </c>
      <c r="BS44" s="16"/>
      <c r="BT44" s="17"/>
      <c r="BU44" s="49">
        <f>SUM(BQ44:BT44)</f>
        <v>4</v>
      </c>
    </row>
    <row r="45" spans="1:75" ht="12.75" customHeight="1">
      <c r="A45" s="2" t="s">
        <v>210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6"/>
      <c r="BQ45" s="18">
        <f>+BQ28*1000/BQ41</f>
        <v>32.932337001149612</v>
      </c>
      <c r="BR45" s="18">
        <v>34</v>
      </c>
      <c r="BS45" s="18"/>
      <c r="BT45" s="18"/>
      <c r="BU45" s="46"/>
    </row>
    <row r="46" spans="1:75" s="44" customFormat="1" ht="12.75" customHeight="1" thickBot="1">
      <c r="A46" s="44" t="s">
        <v>209</v>
      </c>
      <c r="C46" s="44">
        <v>198</v>
      </c>
      <c r="D46" s="44">
        <v>229</v>
      </c>
      <c r="E46" s="44">
        <v>262</v>
      </c>
      <c r="F46" s="44">
        <v>289</v>
      </c>
      <c r="G46" s="66"/>
      <c r="I46" s="44">
        <v>389</v>
      </c>
      <c r="J46" s="44">
        <v>366</v>
      </c>
      <c r="K46" s="44">
        <v>442</v>
      </c>
      <c r="L46" s="44">
        <v>503</v>
      </c>
      <c r="M46" s="66"/>
      <c r="O46" s="44">
        <v>449</v>
      </c>
      <c r="P46" s="44">
        <v>549</v>
      </c>
      <c r="Q46" s="44">
        <v>586</v>
      </c>
      <c r="R46" s="44">
        <v>459</v>
      </c>
      <c r="S46" s="66"/>
      <c r="U46" s="44">
        <v>340</v>
      </c>
      <c r="V46" s="44">
        <v>383</v>
      </c>
      <c r="W46" s="44">
        <v>245</v>
      </c>
      <c r="X46" s="44">
        <v>106</v>
      </c>
      <c r="Y46" s="66"/>
      <c r="AA46" s="67">
        <v>97</v>
      </c>
      <c r="AB46" s="68">
        <v>179</v>
      </c>
      <c r="AC46" s="67">
        <v>297</v>
      </c>
      <c r="AD46" s="45">
        <v>291</v>
      </c>
      <c r="AE46" s="66"/>
      <c r="AG46" s="67">
        <v>305</v>
      </c>
      <c r="AH46" s="69">
        <v>274</v>
      </c>
      <c r="AI46" s="67">
        <v>270</v>
      </c>
      <c r="AJ46" s="45">
        <v>297</v>
      </c>
      <c r="AK46" s="66"/>
      <c r="AM46" s="68">
        <f>+Valuation!AG9</f>
        <v>309</v>
      </c>
      <c r="AN46" s="68">
        <f>+Valuation!AH9</f>
        <v>329</v>
      </c>
      <c r="AO46" s="68">
        <f>+Valuation!AI9</f>
        <v>202</v>
      </c>
      <c r="AP46" s="68">
        <f>+Valuation!AJ9</f>
        <v>191</v>
      </c>
      <c r="AQ46" s="66"/>
      <c r="AS46" s="68">
        <f>+Valuation!AL9</f>
        <v>254</v>
      </c>
      <c r="AT46" s="68">
        <v>190</v>
      </c>
      <c r="AU46" s="68">
        <v>202</v>
      </c>
      <c r="AV46" s="68">
        <v>204</v>
      </c>
      <c r="AW46" s="66"/>
      <c r="AY46" s="68">
        <f>+Valuation!AQ9</f>
        <v>216</v>
      </c>
      <c r="AZ46" s="68">
        <f>+Valuation!AR9</f>
        <v>208</v>
      </c>
      <c r="BA46" s="69">
        <f>+Valuation!AS9</f>
        <v>274</v>
      </c>
      <c r="BB46" s="69">
        <f>+Valuation!AT9</f>
        <v>268</v>
      </c>
      <c r="BC46" s="70"/>
      <c r="BE46" s="68">
        <f>+Valuation!AV9</f>
        <v>314</v>
      </c>
      <c r="BF46" s="68">
        <f>+Valuation!AW9</f>
        <v>374</v>
      </c>
      <c r="BG46" s="69">
        <v>325</v>
      </c>
      <c r="BH46" s="69">
        <v>332</v>
      </c>
      <c r="BI46" s="66"/>
      <c r="BK46" s="68">
        <f>+Valuation!BA9</f>
        <v>445</v>
      </c>
      <c r="BL46" s="68">
        <f>+Valuation!BB9</f>
        <v>384</v>
      </c>
      <c r="BM46" s="69">
        <v>352</v>
      </c>
      <c r="BN46" s="69">
        <v>357</v>
      </c>
      <c r="BO46" s="66"/>
      <c r="BQ46" s="68">
        <v>378</v>
      </c>
      <c r="BR46" s="68">
        <v>337</v>
      </c>
      <c r="BS46" s="69"/>
      <c r="BT46" s="69"/>
      <c r="BU46" s="66"/>
    </row>
    <row r="47" spans="1:75" ht="11.1" customHeight="1">
      <c r="A47" s="224" t="s">
        <v>216</v>
      </c>
      <c r="AC47" s="20"/>
      <c r="AD47" s="20"/>
      <c r="AG47" s="20"/>
      <c r="AH47" s="20"/>
    </row>
    <row r="48" spans="1:75" ht="11.1" customHeight="1">
      <c r="A48" s="224" t="s">
        <v>217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</row>
    <row r="49" spans="1:36" ht="11.1" customHeight="1">
      <c r="A49" s="224" t="s">
        <v>215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4"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2"/>
  <sheetViews>
    <sheetView showGridLines="0" zoomScaleNormal="100" zoomScaleSheetLayoutView="85" workbookViewId="0">
      <pane xSplit="1" ySplit="3" topLeftCell="BD4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BK58" sqref="BK58"/>
    </sheetView>
  </sheetViews>
  <sheetFormatPr defaultColWidth="9.140625" defaultRowHeight="12.75"/>
  <cols>
    <col min="1" max="1" width="36.42578125" style="15" customWidth="1"/>
    <col min="2" max="2" width="4.7109375" style="140" customWidth="1"/>
    <col min="3" max="6" width="8.7109375" style="15" customWidth="1"/>
    <col min="7" max="7" width="4.7109375" style="140" customWidth="1"/>
    <col min="8" max="11" width="8.7109375" style="15" customWidth="1"/>
    <col min="12" max="12" width="4.7109375" style="140" customWidth="1"/>
    <col min="13" max="16" width="8.7109375" style="15" customWidth="1"/>
    <col min="17" max="17" width="4.7109375" style="140" customWidth="1"/>
    <col min="18" max="21" width="8.7109375" style="15" customWidth="1"/>
    <col min="22" max="22" width="4.7109375" style="140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16384" width="9.140625" style="15"/>
  </cols>
  <sheetData>
    <row r="1" spans="1:61">
      <c r="B1" s="134"/>
      <c r="C1" s="231" t="s">
        <v>80</v>
      </c>
      <c r="D1" s="231"/>
      <c r="E1" s="231"/>
      <c r="F1" s="231"/>
      <c r="G1" s="134"/>
      <c r="H1" s="231" t="s">
        <v>80</v>
      </c>
      <c r="I1" s="231"/>
      <c r="J1" s="231"/>
      <c r="K1" s="231"/>
      <c r="L1" s="134"/>
      <c r="M1" s="231" t="s">
        <v>80</v>
      </c>
      <c r="N1" s="231"/>
      <c r="O1" s="231"/>
      <c r="P1" s="231"/>
      <c r="Q1" s="134"/>
      <c r="R1" s="231" t="s">
        <v>80</v>
      </c>
      <c r="S1" s="231"/>
      <c r="T1" s="231"/>
      <c r="U1" s="231"/>
      <c r="V1" s="134"/>
      <c r="W1" s="231" t="s">
        <v>80</v>
      </c>
      <c r="X1" s="231"/>
      <c r="Y1" s="231"/>
      <c r="Z1" s="231"/>
      <c r="AB1" s="231" t="s">
        <v>80</v>
      </c>
      <c r="AC1" s="231"/>
      <c r="AD1" s="231"/>
      <c r="AE1" s="231"/>
      <c r="AG1" s="231" t="s">
        <v>80</v>
      </c>
      <c r="AH1" s="231"/>
      <c r="AI1" s="231"/>
      <c r="AJ1" s="231"/>
      <c r="AL1" s="231" t="s">
        <v>80</v>
      </c>
      <c r="AM1" s="231"/>
      <c r="AN1" s="231"/>
      <c r="AO1" s="231"/>
      <c r="AQ1" s="231" t="s">
        <v>80</v>
      </c>
      <c r="AR1" s="231"/>
      <c r="AS1" s="231"/>
      <c r="AT1" s="231"/>
      <c r="AV1" s="231" t="s">
        <v>80</v>
      </c>
      <c r="AW1" s="231"/>
      <c r="AX1" s="231"/>
      <c r="AY1" s="231"/>
      <c r="BA1" s="231" t="s">
        <v>80</v>
      </c>
      <c r="BB1" s="231"/>
      <c r="BC1" s="231"/>
      <c r="BD1" s="231"/>
      <c r="BF1" s="231" t="s">
        <v>80</v>
      </c>
      <c r="BG1" s="231"/>
      <c r="BH1" s="231"/>
      <c r="BI1" s="231"/>
    </row>
    <row r="2" spans="1:61">
      <c r="A2" s="135" t="s">
        <v>34</v>
      </c>
      <c r="B2" s="136"/>
      <c r="C2" s="232" t="s">
        <v>186</v>
      </c>
      <c r="D2" s="233"/>
      <c r="E2" s="233"/>
      <c r="F2" s="233"/>
      <c r="G2" s="136"/>
      <c r="H2" s="232" t="s">
        <v>187</v>
      </c>
      <c r="I2" s="233"/>
      <c r="J2" s="233"/>
      <c r="K2" s="233"/>
      <c r="L2" s="136"/>
      <c r="M2" s="232" t="s">
        <v>188</v>
      </c>
      <c r="N2" s="233"/>
      <c r="O2" s="233"/>
      <c r="P2" s="233"/>
      <c r="Q2" s="136"/>
      <c r="R2" s="232" t="s">
        <v>189</v>
      </c>
      <c r="S2" s="233"/>
      <c r="T2" s="233"/>
      <c r="U2" s="233"/>
      <c r="V2" s="136"/>
      <c r="W2" s="232" t="s">
        <v>190</v>
      </c>
      <c r="X2" s="233"/>
      <c r="Y2" s="233"/>
      <c r="Z2" s="233"/>
      <c r="AB2" s="232" t="s">
        <v>191</v>
      </c>
      <c r="AC2" s="233"/>
      <c r="AD2" s="233"/>
      <c r="AE2" s="233"/>
      <c r="AG2" s="232" t="s">
        <v>196</v>
      </c>
      <c r="AH2" s="233"/>
      <c r="AI2" s="233"/>
      <c r="AJ2" s="233"/>
      <c r="AL2" s="232" t="s">
        <v>195</v>
      </c>
      <c r="AM2" s="233"/>
      <c r="AN2" s="233"/>
      <c r="AO2" s="233"/>
      <c r="AQ2" s="232" t="s">
        <v>194</v>
      </c>
      <c r="AR2" s="233"/>
      <c r="AS2" s="233"/>
      <c r="AT2" s="233"/>
      <c r="AV2" s="232" t="s">
        <v>193</v>
      </c>
      <c r="AW2" s="233"/>
      <c r="AX2" s="233"/>
      <c r="AY2" s="233"/>
      <c r="BA2" s="232" t="s">
        <v>192</v>
      </c>
      <c r="BB2" s="233"/>
      <c r="BC2" s="233"/>
      <c r="BD2" s="233"/>
      <c r="BF2" s="232" t="s">
        <v>214</v>
      </c>
      <c r="BG2" s="233"/>
      <c r="BH2" s="233"/>
      <c r="BI2" s="233"/>
    </row>
    <row r="3" spans="1:61" s="139" customFormat="1" ht="13.5" thickBot="1">
      <c r="A3" s="137" t="s">
        <v>197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  <c r="BF3" s="138" t="s">
        <v>10</v>
      </c>
      <c r="BG3" s="138" t="s">
        <v>11</v>
      </c>
      <c r="BH3" s="138" t="s">
        <v>12</v>
      </c>
      <c r="BI3" s="138" t="s">
        <v>13</v>
      </c>
    </row>
    <row r="4" spans="1:61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  <c r="BG4" s="141"/>
      <c r="BI4" s="141"/>
    </row>
    <row r="5" spans="1:61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  <c r="BG5" s="141"/>
      <c r="BI5" s="141"/>
    </row>
    <row r="6" spans="1:61">
      <c r="A6" s="15" t="s">
        <v>84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  <c r="BF6" s="15">
        <v>369.2</v>
      </c>
      <c r="BG6" s="141">
        <v>373.5</v>
      </c>
      <c r="BI6" s="141"/>
    </row>
    <row r="7" spans="1:61">
      <c r="A7" s="15" t="s">
        <v>85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  <c r="BF7" s="15">
        <v>365.5</v>
      </c>
      <c r="BG7" s="141">
        <v>359.3</v>
      </c>
      <c r="BI7" s="141"/>
    </row>
    <row r="8" spans="1:61" s="142" customFormat="1">
      <c r="A8" s="142" t="s">
        <v>86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  <c r="BF8" s="142">
        <v>84.6</v>
      </c>
      <c r="BG8" s="144">
        <v>85.8</v>
      </c>
      <c r="BI8" s="144"/>
    </row>
    <row r="9" spans="1:61" s="145" customFormat="1">
      <c r="A9" s="145" t="s">
        <v>87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  <c r="BF9" s="145">
        <f>SUM(BF6:BF8)</f>
        <v>819.30000000000007</v>
      </c>
      <c r="BG9" s="145">
        <f>SUM(BG6:BG8)</f>
        <v>818.59999999999991</v>
      </c>
      <c r="BH9" s="148"/>
      <c r="BI9" s="147"/>
    </row>
    <row r="10" spans="1:61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  <c r="BG10" s="141"/>
      <c r="BI10" s="141"/>
    </row>
    <row r="11" spans="1:61">
      <c r="A11" s="15" t="s">
        <v>88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  <c r="BF11" s="15">
        <v>370.6</v>
      </c>
      <c r="BG11" s="141">
        <v>393.4</v>
      </c>
      <c r="BI11" s="141"/>
    </row>
    <row r="12" spans="1:61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  <c r="BF12" s="15">
        <v>501.5</v>
      </c>
      <c r="BG12" s="141">
        <v>544.1</v>
      </c>
      <c r="BI12" s="141"/>
    </row>
    <row r="13" spans="1:61">
      <c r="A13" s="15" t="s">
        <v>124</v>
      </c>
      <c r="D13" s="141"/>
      <c r="F13" s="141"/>
      <c r="I13" s="141"/>
      <c r="K13" s="141"/>
      <c r="N13" s="141"/>
      <c r="P13" s="141"/>
      <c r="S13" s="141"/>
      <c r="U13" s="141"/>
      <c r="X13" s="141"/>
      <c r="Z13" s="141"/>
      <c r="AC13" s="141"/>
      <c r="AE13" s="141"/>
      <c r="AH13" s="141"/>
      <c r="AJ13" s="141"/>
      <c r="AL13" s="15">
        <v>76.644295302013418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  <c r="BG13" s="141"/>
      <c r="BI13" s="141"/>
    </row>
    <row r="14" spans="1:61">
      <c r="A14" s="15" t="s">
        <v>21</v>
      </c>
      <c r="C14" s="15">
        <v>5.9060402684563753</v>
      </c>
      <c r="D14" s="141">
        <v>4.1610738255033555</v>
      </c>
      <c r="E14" s="15">
        <v>3.8926174496644292</v>
      </c>
      <c r="F14" s="141">
        <v>3.7583892617449663</v>
      </c>
      <c r="H14" s="15">
        <v>3.4899328859060401</v>
      </c>
      <c r="I14" s="141">
        <v>1.8791946308724832</v>
      </c>
      <c r="J14" s="15">
        <v>1.8791946308724832</v>
      </c>
      <c r="K14" s="141">
        <v>6.5771812080536911</v>
      </c>
      <c r="M14" s="15">
        <v>4.9664429530201337</v>
      </c>
      <c r="N14" s="141">
        <v>4.0268456375838921</v>
      </c>
      <c r="O14" s="15">
        <v>3.2214765100671139</v>
      </c>
      <c r="P14" s="141">
        <v>2.4161073825503356</v>
      </c>
      <c r="R14" s="15">
        <v>1.7449664429530201</v>
      </c>
      <c r="S14" s="141">
        <v>0</v>
      </c>
      <c r="T14" s="15">
        <v>0</v>
      </c>
      <c r="U14" s="141">
        <v>0</v>
      </c>
      <c r="W14" s="15">
        <v>0</v>
      </c>
      <c r="X14" s="141">
        <v>0</v>
      </c>
      <c r="Y14" s="15">
        <v>0</v>
      </c>
      <c r="Z14" s="141">
        <v>0</v>
      </c>
      <c r="AB14" s="15">
        <v>0</v>
      </c>
      <c r="AC14" s="141">
        <v>0</v>
      </c>
      <c r="AD14" s="15">
        <v>0</v>
      </c>
      <c r="AE14" s="141">
        <v>0</v>
      </c>
      <c r="AG14" s="15">
        <v>0</v>
      </c>
      <c r="AH14" s="141">
        <v>0</v>
      </c>
      <c r="AI14" s="15">
        <v>0</v>
      </c>
      <c r="AJ14" s="141">
        <v>0</v>
      </c>
      <c r="AL14" s="15">
        <v>0</v>
      </c>
      <c r="AM14" s="141">
        <v>0</v>
      </c>
      <c r="AN14" s="15">
        <v>0</v>
      </c>
      <c r="AO14" s="141">
        <v>0</v>
      </c>
      <c r="AR14" s="141"/>
      <c r="AT14" s="141"/>
      <c r="AW14" s="141"/>
      <c r="AY14" s="141"/>
      <c r="BB14" s="141"/>
      <c r="BD14" s="141"/>
      <c r="BG14" s="141"/>
      <c r="BI14" s="141"/>
    </row>
    <row r="15" spans="1:61" s="142" customFormat="1">
      <c r="A15" s="142" t="s">
        <v>22</v>
      </c>
      <c r="B15" s="143"/>
      <c r="C15" s="142">
        <v>46.442953020134226</v>
      </c>
      <c r="D15" s="144">
        <v>33.825503355704697</v>
      </c>
      <c r="E15" s="142">
        <v>30.604026845637584</v>
      </c>
      <c r="F15" s="144">
        <v>37.449664429530202</v>
      </c>
      <c r="G15" s="143"/>
      <c r="H15" s="142">
        <v>21.879194630872483</v>
      </c>
      <c r="I15" s="144">
        <v>61.208053691275168</v>
      </c>
      <c r="J15" s="142">
        <v>41.073825503355707</v>
      </c>
      <c r="K15" s="144">
        <v>136.51006711409394</v>
      </c>
      <c r="L15" s="143"/>
      <c r="M15" s="142">
        <v>50.335570469798654</v>
      </c>
      <c r="N15" s="144">
        <v>38.523489932885909</v>
      </c>
      <c r="O15" s="142">
        <v>43.758389261744966</v>
      </c>
      <c r="P15" s="144">
        <v>72.348993288590606</v>
      </c>
      <c r="Q15" s="143"/>
      <c r="R15" s="142">
        <v>60.268456375838923</v>
      </c>
      <c r="S15" s="144">
        <v>58.65771812080537</v>
      </c>
      <c r="T15" s="142">
        <v>54.496644295302012</v>
      </c>
      <c r="U15" s="144">
        <v>78.791946308724832</v>
      </c>
      <c r="V15" s="143"/>
      <c r="W15" s="142">
        <v>28.053691275167786</v>
      </c>
      <c r="X15" s="144">
        <v>28.859060402684563</v>
      </c>
      <c r="Y15" s="142">
        <v>28.724832214765101</v>
      </c>
      <c r="Z15" s="144">
        <v>34.09395973154362</v>
      </c>
      <c r="AB15" s="142">
        <v>27.651006711409394</v>
      </c>
      <c r="AC15" s="144">
        <v>32.483221476510067</v>
      </c>
      <c r="AD15" s="142">
        <v>28.859060402684563</v>
      </c>
      <c r="AE15" s="144">
        <v>33.154362416107382</v>
      </c>
      <c r="AG15" s="142">
        <v>33.691275167785236</v>
      </c>
      <c r="AH15" s="144">
        <v>33.422818791946305</v>
      </c>
      <c r="AI15" s="142">
        <v>27.651006711409394</v>
      </c>
      <c r="AJ15" s="144">
        <v>36.375838926174495</v>
      </c>
      <c r="AL15" s="142">
        <v>42.281879194630875</v>
      </c>
      <c r="AM15" s="144">
        <v>32.617449664429529</v>
      </c>
      <c r="AN15" s="142">
        <v>37.583892617449663</v>
      </c>
      <c r="AO15" s="144">
        <v>48.724832214765101</v>
      </c>
      <c r="AQ15" s="142">
        <v>51.140939597315437</v>
      </c>
      <c r="AR15" s="144">
        <v>52.483221476510067</v>
      </c>
      <c r="AS15" s="142">
        <v>48.053691275167786</v>
      </c>
      <c r="AT15" s="144">
        <v>50.469798657718123</v>
      </c>
      <c r="AV15" s="142">
        <v>54.630872483221474</v>
      </c>
      <c r="AW15" s="144">
        <v>39.463087248322147</v>
      </c>
      <c r="AX15" s="142">
        <v>41.34228187919463</v>
      </c>
      <c r="AY15" s="144">
        <v>50.201342281879192</v>
      </c>
      <c r="BA15" s="142">
        <v>57.04697986577181</v>
      </c>
      <c r="BB15" s="144">
        <v>64.026845637583889</v>
      </c>
      <c r="BC15" s="142">
        <v>37.718120805369125</v>
      </c>
      <c r="BD15" s="144">
        <v>58.3</v>
      </c>
      <c r="BF15" s="142">
        <v>45</v>
      </c>
      <c r="BG15" s="144">
        <v>31.1</v>
      </c>
      <c r="BI15" s="144"/>
    </row>
    <row r="16" spans="1:61" s="149" customFormat="1">
      <c r="A16" s="149" t="s">
        <v>23</v>
      </c>
      <c r="B16" s="150"/>
      <c r="C16" s="149">
        <f>SUM(C11:C15)</f>
        <v>502.41610738255031</v>
      </c>
      <c r="D16" s="151">
        <f>SUM(D11:D15)</f>
        <v>513.02013422818789</v>
      </c>
      <c r="E16" s="149">
        <f>SUM(E11:E15)</f>
        <v>520.40268456375838</v>
      </c>
      <c r="F16" s="151">
        <f>SUM(F11:F15)</f>
        <v>532.34899328859058</v>
      </c>
      <c r="G16" s="150"/>
      <c r="H16" s="149">
        <f>SUM(H11:H15)</f>
        <v>562.55033557046977</v>
      </c>
      <c r="I16" s="151">
        <f>SUM(I11:I15)</f>
        <v>638.38926174496646</v>
      </c>
      <c r="J16" s="149">
        <f>SUM(J11:J15)</f>
        <v>633.42281879194627</v>
      </c>
      <c r="K16" s="151">
        <f>SUM(K11:K15)</f>
        <v>693.28859060402692</v>
      </c>
      <c r="L16" s="150"/>
      <c r="M16" s="149">
        <f>SUM(M11:M15)</f>
        <v>700.80536912751666</v>
      </c>
      <c r="N16" s="151">
        <f>SUM(N11:N15)</f>
        <v>762.14765100671138</v>
      </c>
      <c r="O16" s="149">
        <f>SUM(O11:O15)</f>
        <v>779.99999999999989</v>
      </c>
      <c r="P16" s="151">
        <f>SUM(P11:P15)</f>
        <v>760.13422818791935</v>
      </c>
      <c r="Q16" s="150"/>
      <c r="R16" s="149">
        <f>SUM(R11:R15)</f>
        <v>812.34899328859058</v>
      </c>
      <c r="S16" s="151">
        <f>SUM(S11:S15)</f>
        <v>845.90604026845631</v>
      </c>
      <c r="T16" s="149">
        <f>SUM(T11:T15)</f>
        <v>822.95302013422804</v>
      </c>
      <c r="U16" s="151">
        <f>SUM(U11:U15)</f>
        <v>753.42281879194638</v>
      </c>
      <c r="V16" s="150"/>
      <c r="W16" s="149">
        <f>SUM(W11:W15)</f>
        <v>700.80536912751677</v>
      </c>
      <c r="X16" s="151">
        <f>SUM(X11:X15)</f>
        <v>688.99328859060404</v>
      </c>
      <c r="Y16" s="149">
        <f>SUM(Y11:Y15)</f>
        <v>686.04026845637588</v>
      </c>
      <c r="Z16" s="151">
        <f>SUM(Z11:Z15)</f>
        <v>664.69798657718115</v>
      </c>
      <c r="AB16" s="149">
        <f>SUM(AB11:AB15)</f>
        <v>754.89932885906035</v>
      </c>
      <c r="AC16" s="151">
        <f>SUM(AC11:AC15)</f>
        <v>861.47651006711396</v>
      </c>
      <c r="AD16" s="149">
        <f>SUM(AD11:AD15)</f>
        <v>895.83892617449658</v>
      </c>
      <c r="AE16" s="151">
        <f>SUM(AE11:AE15)</f>
        <v>884.83221476510062</v>
      </c>
      <c r="AG16" s="149">
        <f>SUM(AG11:AG15)</f>
        <v>1026.3087248322147</v>
      </c>
      <c r="AH16" s="151">
        <f>SUM(AH11:AH15)</f>
        <v>1002.0134228187918</v>
      </c>
      <c r="AI16" s="149">
        <f>SUM(AI11:AI15)</f>
        <v>984.56375838926181</v>
      </c>
      <c r="AJ16" s="151">
        <f>SUM(AJ11:AJ15)</f>
        <v>928.99328859060404</v>
      </c>
      <c r="AL16" s="149">
        <f>SUM(AL11:AL15)</f>
        <v>1055.3020134228188</v>
      </c>
      <c r="AM16" s="151">
        <f>SUM(AM11:AM15)</f>
        <v>996.77852348993281</v>
      </c>
      <c r="AN16" s="149">
        <f>SUM(AN11:AN15)</f>
        <v>978.65771812080538</v>
      </c>
      <c r="AO16" s="151">
        <f>SUM(AO11:AO15)</f>
        <v>925.77181208053696</v>
      </c>
      <c r="AQ16" s="149">
        <f>SUM(AQ11:AQ15)</f>
        <v>1019.5973154362415</v>
      </c>
      <c r="AR16" s="151">
        <f>SUM(AR11:AR15)</f>
        <v>988.99328859060404</v>
      </c>
      <c r="AS16" s="149">
        <f>SUM(AS11:AS15)</f>
        <v>1024.1610738255033</v>
      </c>
      <c r="AT16" s="151">
        <f>SUM(AT11:AT15)</f>
        <v>951.27516778523488</v>
      </c>
      <c r="AV16" s="149">
        <f>SUM(AV11:AV15)</f>
        <v>987.51677852348985</v>
      </c>
      <c r="AW16" s="151">
        <f>SUM(AW11:AW15)</f>
        <v>966.71140939597308</v>
      </c>
      <c r="AX16" s="149">
        <f>SUM(AX11:AX15)</f>
        <v>996.64429530201346</v>
      </c>
      <c r="AY16" s="151">
        <f>SUM(AY11:AY15)</f>
        <v>854.89932885906035</v>
      </c>
      <c r="BA16" s="149">
        <f>SUM(BA11:BA15)</f>
        <v>1034.2281879194629</v>
      </c>
      <c r="BB16" s="151">
        <f>SUM(BB11:BB15)</f>
        <v>1084.8322147651006</v>
      </c>
      <c r="BC16" s="149">
        <f>SUM(BC11:BC15)</f>
        <v>964.69798657718127</v>
      </c>
      <c r="BD16" s="151">
        <f>SUM(BD11:BD15)</f>
        <v>896.59999999999991</v>
      </c>
      <c r="BF16" s="149">
        <f>SUM(BF11:BF15)</f>
        <v>917.1</v>
      </c>
      <c r="BG16" s="151">
        <f>SUM(BG11:BG15)</f>
        <v>968.6</v>
      </c>
      <c r="BI16" s="151"/>
    </row>
    <row r="17" spans="1:61" s="142" customFormat="1">
      <c r="B17" s="143"/>
      <c r="D17" s="144"/>
      <c r="F17" s="144"/>
      <c r="G17" s="143"/>
      <c r="I17" s="144"/>
      <c r="K17" s="144"/>
      <c r="L17" s="143"/>
      <c r="N17" s="144"/>
      <c r="P17" s="144"/>
      <c r="Q17" s="143"/>
      <c r="S17" s="144"/>
      <c r="U17" s="144"/>
      <c r="V17" s="143"/>
      <c r="X17" s="144"/>
      <c r="Z17" s="144"/>
      <c r="AC17" s="144"/>
      <c r="AE17" s="144"/>
      <c r="AH17" s="144"/>
      <c r="AJ17" s="144"/>
      <c r="AM17" s="144"/>
      <c r="AO17" s="144"/>
      <c r="AR17" s="144"/>
      <c r="AT17" s="144"/>
      <c r="AW17" s="144"/>
      <c r="AY17" s="144"/>
      <c r="BB17" s="144"/>
      <c r="BD17" s="144"/>
      <c r="BG17" s="144"/>
      <c r="BI17" s="144"/>
    </row>
    <row r="18" spans="1:61" s="145" customFormat="1">
      <c r="A18" s="145" t="s">
        <v>24</v>
      </c>
      <c r="B18" s="146"/>
      <c r="C18" s="145">
        <f>C16+C9</f>
        <v>794.89932885906035</v>
      </c>
      <c r="D18" s="147">
        <f>D16+D9</f>
        <v>809.53020134228188</v>
      </c>
      <c r="E18" s="145">
        <f>E16+E9</f>
        <v>819.06040268456377</v>
      </c>
      <c r="F18" s="147">
        <f>F16+F9</f>
        <v>829.12751677852339</v>
      </c>
      <c r="G18" s="146"/>
      <c r="H18" s="145">
        <f>H16+H9</f>
        <v>866.71140939597308</v>
      </c>
      <c r="I18" s="147">
        <f>I16+I9</f>
        <v>928.32214765100673</v>
      </c>
      <c r="J18" s="145">
        <f>J16+J9</f>
        <v>924.83221476510062</v>
      </c>
      <c r="K18" s="147">
        <f>K16+K9</f>
        <v>986.57718120805384</v>
      </c>
      <c r="L18" s="146"/>
      <c r="M18" s="145">
        <f>M16+M9</f>
        <v>1072.4832214765099</v>
      </c>
      <c r="N18" s="147">
        <f>N16+N9</f>
        <v>1152.7516778523491</v>
      </c>
      <c r="O18" s="145">
        <f>O16+O9</f>
        <v>1229.6644295302012</v>
      </c>
      <c r="P18" s="147">
        <f>P16+P9</f>
        <v>1221.3422818791946</v>
      </c>
      <c r="Q18" s="146"/>
      <c r="R18" s="145">
        <f>R16+R9</f>
        <v>1295.9731543624162</v>
      </c>
      <c r="S18" s="147">
        <f>S16+S9</f>
        <v>1373.2885906040269</v>
      </c>
      <c r="T18" s="145">
        <f>T16+T9</f>
        <v>1383.7583892617449</v>
      </c>
      <c r="U18" s="147">
        <f>U16+U9</f>
        <v>1333.5570469798658</v>
      </c>
      <c r="V18" s="146"/>
      <c r="W18" s="145">
        <f>W16+W9</f>
        <v>1306.7114093959731</v>
      </c>
      <c r="X18" s="147">
        <f>X16+X9</f>
        <v>1327.3825503355706</v>
      </c>
      <c r="Y18" s="145">
        <f>Y16+Y9</f>
        <v>1354.7651006711408</v>
      </c>
      <c r="Z18" s="147">
        <f>Z16+Z9</f>
        <v>1358.9261744966443</v>
      </c>
      <c r="AB18" s="145">
        <f>AB16+AB9</f>
        <v>1498.1208053691275</v>
      </c>
      <c r="AC18" s="147">
        <f>AC16+AC9</f>
        <v>1628.7248322147648</v>
      </c>
      <c r="AD18" s="145">
        <f>AD16+AD9</f>
        <v>1658.1208053691275</v>
      </c>
      <c r="AE18" s="147">
        <f>AE16+AE9</f>
        <v>1685.3691275167785</v>
      </c>
      <c r="AG18" s="145">
        <f>AG16+AG9</f>
        <v>1833.5570469798658</v>
      </c>
      <c r="AH18" s="147">
        <f>AH16+AH9</f>
        <v>1816.1073825503354</v>
      </c>
      <c r="AI18" s="145">
        <f>AI16+AI9</f>
        <v>1826.4429530201342</v>
      </c>
      <c r="AJ18" s="147">
        <f>AJ16+AJ9</f>
        <v>1803.8926174496644</v>
      </c>
      <c r="AL18" s="145">
        <f>AL16+AL9</f>
        <v>1848.4563758389263</v>
      </c>
      <c r="AM18" s="147">
        <f>AM16+AM9</f>
        <v>1796.6442953020132</v>
      </c>
      <c r="AN18" s="145">
        <f>AN16+AN9</f>
        <v>1772.8859060402683</v>
      </c>
      <c r="AO18" s="147">
        <f>AO16+AO9</f>
        <v>1736.3758389261743</v>
      </c>
      <c r="AQ18" s="145">
        <f>AQ16+AQ9</f>
        <v>1833.6912751677851</v>
      </c>
      <c r="AR18" s="147">
        <f>AR16+AR9</f>
        <v>1791.2751677852348</v>
      </c>
      <c r="AS18" s="145">
        <f>AS16+AS9</f>
        <v>1816.6442953020135</v>
      </c>
      <c r="AT18" s="147">
        <f>AT16+AT9</f>
        <v>1744.2953020134228</v>
      </c>
      <c r="AV18" s="145">
        <f>AV16+AV9</f>
        <v>1763.489932885906</v>
      </c>
      <c r="AW18" s="147">
        <f>AW16+AW9</f>
        <v>1751.8120805369126</v>
      </c>
      <c r="AX18" s="145">
        <f>AX16+AX9</f>
        <v>1802.9530201342282</v>
      </c>
      <c r="AY18" s="147">
        <f>AY16+AY9</f>
        <v>1656.1073825503354</v>
      </c>
      <c r="BA18" s="145">
        <f>BA16+BA9</f>
        <v>1851.4093959731542</v>
      </c>
      <c r="BB18" s="147">
        <f>BB16+BB9</f>
        <v>1860.6711409395971</v>
      </c>
      <c r="BC18" s="145">
        <f>BC16+BC9</f>
        <v>1735.8389261744967</v>
      </c>
      <c r="BD18" s="147">
        <f>BD16+BD9</f>
        <v>1683.6</v>
      </c>
      <c r="BF18" s="145">
        <f>BF16+BF9</f>
        <v>1736.4</v>
      </c>
      <c r="BG18" s="147">
        <f>BG16+BG9</f>
        <v>1787.1999999999998</v>
      </c>
      <c r="BI18" s="147"/>
    </row>
    <row r="19" spans="1:61">
      <c r="D19" s="141"/>
      <c r="F19" s="141"/>
      <c r="I19" s="141"/>
      <c r="K19" s="141"/>
      <c r="N19" s="141"/>
      <c r="P19" s="141"/>
      <c r="S19" s="141"/>
      <c r="U19" s="141"/>
      <c r="X19" s="141"/>
      <c r="Z19" s="141"/>
      <c r="AC19" s="141"/>
      <c r="AE19" s="141"/>
      <c r="AH19" s="141"/>
      <c r="AJ19" s="141"/>
      <c r="AM19" s="141"/>
      <c r="AO19" s="141"/>
      <c r="AR19" s="141"/>
      <c r="AT19" s="141"/>
      <c r="AW19" s="141"/>
      <c r="AY19" s="141"/>
      <c r="BB19" s="141"/>
      <c r="BD19" s="141"/>
      <c r="BG19" s="141"/>
      <c r="BI19" s="141"/>
    </row>
    <row r="20" spans="1:61">
      <c r="A20" s="140" t="s">
        <v>19</v>
      </c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  <c r="BG20" s="141"/>
      <c r="BI20" s="141"/>
    </row>
    <row r="21" spans="1:61">
      <c r="A21" s="15" t="s">
        <v>25</v>
      </c>
      <c r="C21" s="15">
        <f>(2742)/7.45</f>
        <v>368.05369127516775</v>
      </c>
      <c r="D21" s="141">
        <v>362.81879194630869</v>
      </c>
      <c r="E21" s="15">
        <v>345.36912751677852</v>
      </c>
      <c r="F21" s="141">
        <v>358.65771812080538</v>
      </c>
      <c r="H21" s="15">
        <v>363.89261744966444</v>
      </c>
      <c r="I21" s="141">
        <v>339.06040268456377</v>
      </c>
      <c r="J21" s="15">
        <v>357.44966442953017</v>
      </c>
      <c r="K21" s="141">
        <v>374.09395973154363</v>
      </c>
      <c r="M21" s="15">
        <v>387.5167785234899</v>
      </c>
      <c r="N21" s="141">
        <v>382.14765100671138</v>
      </c>
      <c r="O21" s="15">
        <v>397.31543624161071</v>
      </c>
      <c r="P21" s="141">
        <v>435.70469798657717</v>
      </c>
      <c r="R21" s="15">
        <v>447.91946308724829</v>
      </c>
      <c r="S21" s="141">
        <v>450.33557046979865</v>
      </c>
      <c r="T21" s="15">
        <v>482.95302013422815</v>
      </c>
      <c r="U21" s="141">
        <v>460</v>
      </c>
      <c r="W21" s="15">
        <v>463.22147651006708</v>
      </c>
      <c r="X21" s="141">
        <v>470.85906040268458</v>
      </c>
      <c r="Y21" s="15">
        <v>474.8993288590604</v>
      </c>
      <c r="Z21" s="141">
        <v>499.19463087248323</v>
      </c>
      <c r="AB21" s="15">
        <v>511.40939597315435</v>
      </c>
      <c r="AC21" s="141">
        <v>540.93959731543623</v>
      </c>
      <c r="AD21" s="15">
        <v>535.83892617449658</v>
      </c>
      <c r="AE21" s="141">
        <v>551.00671140939596</v>
      </c>
      <c r="AG21" s="15">
        <v>535.43624161073819</v>
      </c>
      <c r="AH21" s="141">
        <v>534.63087248322142</v>
      </c>
      <c r="AI21" s="15">
        <v>536.91275167785238</v>
      </c>
      <c r="AJ21" s="141">
        <v>544.96644295302008</v>
      </c>
      <c r="AL21" s="15">
        <v>552.48322147651004</v>
      </c>
      <c r="AM21" s="141">
        <v>745.234899328859</v>
      </c>
      <c r="AN21" s="15">
        <v>758.38926174496646</v>
      </c>
      <c r="AO21" s="141">
        <v>769.1275167785235</v>
      </c>
      <c r="AQ21" s="15">
        <v>747.78523489932888</v>
      </c>
      <c r="AR21" s="141">
        <v>752.08053691275165</v>
      </c>
      <c r="AS21" s="15">
        <v>753.15436241610735</v>
      </c>
      <c r="AT21" s="141">
        <v>760.67114093959731</v>
      </c>
      <c r="AV21" s="15">
        <v>751.67785234899327</v>
      </c>
      <c r="AW21" s="141">
        <v>763.08724832214762</v>
      </c>
      <c r="AX21" s="15">
        <v>793.69127516778519</v>
      </c>
      <c r="AY21" s="141">
        <v>801.20805369127515</v>
      </c>
      <c r="BA21" s="15">
        <v>846.97986577181211</v>
      </c>
      <c r="BB21" s="141">
        <v>802.55033557046977</v>
      </c>
      <c r="BC21" s="15">
        <v>798.79194630872485</v>
      </c>
      <c r="BD21" s="141">
        <v>808.6</v>
      </c>
      <c r="BF21" s="15">
        <v>802.1</v>
      </c>
      <c r="BG21" s="141">
        <v>801.7</v>
      </c>
      <c r="BI21" s="141"/>
    </row>
    <row r="22" spans="1:61" s="142" customFormat="1">
      <c r="A22" s="142" t="s">
        <v>8</v>
      </c>
      <c r="B22" s="143"/>
      <c r="C22" s="142">
        <v>7.7852348993288585</v>
      </c>
      <c r="D22" s="144">
        <v>7.9194630872483218</v>
      </c>
      <c r="E22" s="142">
        <v>8.4563758389261743</v>
      </c>
      <c r="F22" s="144">
        <v>8.4563758389261743</v>
      </c>
      <c r="G22" s="143"/>
      <c r="H22" s="142">
        <v>8.5906040268456376</v>
      </c>
      <c r="I22" s="144">
        <v>9.5302013422818792</v>
      </c>
      <c r="J22" s="142">
        <v>1.8791946308724832</v>
      </c>
      <c r="K22" s="144">
        <v>2.5503355704697985</v>
      </c>
      <c r="L22" s="143"/>
      <c r="M22" s="142">
        <v>2.6845637583892619</v>
      </c>
      <c r="N22" s="144">
        <v>3.3557046979865772</v>
      </c>
      <c r="O22" s="142">
        <v>3.8926174496644292</v>
      </c>
      <c r="P22" s="144">
        <v>4.9664429530201337</v>
      </c>
      <c r="Q22" s="143"/>
      <c r="R22" s="142">
        <v>5.2348993288590604</v>
      </c>
      <c r="S22" s="144">
        <v>5.6375838926174495</v>
      </c>
      <c r="T22" s="142">
        <v>6.174496644295302</v>
      </c>
      <c r="U22" s="144">
        <v>5.1006711409395971</v>
      </c>
      <c r="V22" s="143"/>
      <c r="W22" s="142">
        <v>4.2953020134228188</v>
      </c>
      <c r="X22" s="144">
        <v>4.6174496644295298</v>
      </c>
      <c r="Y22" s="142">
        <v>5.5033557046979862</v>
      </c>
      <c r="Z22" s="144">
        <v>2.8187919463087248</v>
      </c>
      <c r="AB22" s="142">
        <v>2.9530201342281877</v>
      </c>
      <c r="AC22" s="144">
        <v>3.087248322147651</v>
      </c>
      <c r="AD22" s="142">
        <v>0.93959731543624159</v>
      </c>
      <c r="AE22" s="144">
        <v>0.93959731543624159</v>
      </c>
      <c r="AG22" s="142">
        <v>0.67114093959731547</v>
      </c>
      <c r="AH22" s="144">
        <v>0.80536912751677847</v>
      </c>
      <c r="AI22" s="142">
        <v>0.80536912751677847</v>
      </c>
      <c r="AJ22" s="144">
        <v>0.80536912751677847</v>
      </c>
      <c r="AL22" s="142">
        <v>0.80536912751677847</v>
      </c>
      <c r="AM22" s="144">
        <v>0.80536912751677847</v>
      </c>
      <c r="AN22" s="142">
        <v>0.93959731543624159</v>
      </c>
      <c r="AO22" s="144">
        <v>0.93959731543624159</v>
      </c>
      <c r="AQ22" s="142">
        <v>1.0738255033557047</v>
      </c>
      <c r="AR22" s="144">
        <v>0.93959731543624159</v>
      </c>
      <c r="AS22" s="142">
        <v>0.93959731543624159</v>
      </c>
      <c r="AT22" s="144">
        <v>0.93959731543624159</v>
      </c>
      <c r="AV22" s="142">
        <v>0.80536912751677847</v>
      </c>
      <c r="AW22" s="144">
        <v>0.80536912751677847</v>
      </c>
      <c r="AX22" s="142">
        <v>0.80536912751677847</v>
      </c>
      <c r="AY22" s="144">
        <v>0.80536912751677847</v>
      </c>
      <c r="BA22" s="142">
        <v>0.93959731543624159</v>
      </c>
      <c r="BB22" s="144">
        <v>0.93959731543624159</v>
      </c>
      <c r="BC22" s="142">
        <v>0.93959731543624159</v>
      </c>
      <c r="BD22" s="144">
        <v>0.9</v>
      </c>
      <c r="BF22" s="142">
        <v>0.93959731543624159</v>
      </c>
      <c r="BG22" s="144">
        <v>0</v>
      </c>
      <c r="BI22" s="144"/>
    </row>
    <row r="23" spans="1:61">
      <c r="A23" s="15" t="s">
        <v>161</v>
      </c>
      <c r="C23" s="15">
        <f>SUM(C21:C22)</f>
        <v>375.83892617449663</v>
      </c>
      <c r="D23" s="141">
        <f>SUM(D21:D22)</f>
        <v>370.73825503355704</v>
      </c>
      <c r="E23" s="15">
        <f>SUM(E21:E22)</f>
        <v>353.82550335570471</v>
      </c>
      <c r="F23" s="141">
        <f>SUM(F21:F22)</f>
        <v>367.11409395973158</v>
      </c>
      <c r="H23" s="15">
        <f>SUM(H21:H22)</f>
        <v>372.4832214765101</v>
      </c>
      <c r="I23" s="141">
        <f>SUM(I21:I22)</f>
        <v>348.59060402684565</v>
      </c>
      <c r="J23" s="15">
        <f>SUM(J21:J22)</f>
        <v>359.32885906040264</v>
      </c>
      <c r="K23" s="141">
        <f>SUM(K21:K22)</f>
        <v>376.64429530201346</v>
      </c>
      <c r="M23" s="15">
        <f>SUM(M21:M22)</f>
        <v>390.20134228187919</v>
      </c>
      <c r="N23" s="141">
        <f>SUM(N21:N22)</f>
        <v>385.50335570469798</v>
      </c>
      <c r="O23" s="15">
        <f>SUM(O21:O22)</f>
        <v>401.20805369127515</v>
      </c>
      <c r="P23" s="141">
        <f>SUM(P21:P22)</f>
        <v>440.67114093959731</v>
      </c>
      <c r="R23" s="15">
        <f>SUM(R21:R22)</f>
        <v>453.15436241610735</v>
      </c>
      <c r="S23" s="141">
        <f>SUM(S21:S22)</f>
        <v>455.9731543624161</v>
      </c>
      <c r="T23" s="15">
        <f>SUM(T21:T22)</f>
        <v>489.12751677852344</v>
      </c>
      <c r="U23" s="141">
        <f>SUM(U21:U22)</f>
        <v>465.1006711409396</v>
      </c>
      <c r="W23" s="15">
        <f>SUM(W21:W22)</f>
        <v>467.5167785234899</v>
      </c>
      <c r="X23" s="141">
        <f>SUM(X21:X22)</f>
        <v>475.47651006711413</v>
      </c>
      <c r="Y23" s="15">
        <f>SUM(Y21:Y22)</f>
        <v>480.40268456375838</v>
      </c>
      <c r="Z23" s="141">
        <f>SUM(Z21:Z22)</f>
        <v>502.01342281879198</v>
      </c>
      <c r="AB23" s="15">
        <f>SUM(AB21:AB22)</f>
        <v>514.3624161073825</v>
      </c>
      <c r="AC23" s="141">
        <f>SUM(AC21:AC22)</f>
        <v>544.02684563758385</v>
      </c>
      <c r="AD23" s="15">
        <f>SUM(AD21:AD22)</f>
        <v>536.77852348993281</v>
      </c>
      <c r="AE23" s="141">
        <f>SUM(AE21:AE22)</f>
        <v>551.94630872483219</v>
      </c>
      <c r="AG23" s="15">
        <f>SUM(AG21:AG22)</f>
        <v>536.1073825503355</v>
      </c>
      <c r="AH23" s="141">
        <f>SUM(AH21:AH22)</f>
        <v>535.43624161073819</v>
      </c>
      <c r="AI23" s="15">
        <f>SUM(AI21:AI22)</f>
        <v>537.71812080536915</v>
      </c>
      <c r="AJ23" s="141">
        <f>SUM(AJ21:AJ22)</f>
        <v>545.77181208053685</v>
      </c>
      <c r="AL23" s="15">
        <f>SUM(AL21:AL22)</f>
        <v>553.28859060402681</v>
      </c>
      <c r="AM23" s="141">
        <f>SUM(AM21:AM22)</f>
        <v>746.04026845637577</v>
      </c>
      <c r="AN23" s="15">
        <f>SUM(AN21:AN22)</f>
        <v>759.32885906040269</v>
      </c>
      <c r="AO23" s="141">
        <f>SUM(AO21:AO22)</f>
        <v>770.06711409395973</v>
      </c>
      <c r="AQ23" s="15">
        <f>SUM(AQ21:AQ22)</f>
        <v>748.85906040268458</v>
      </c>
      <c r="AR23" s="141">
        <f>SUM(AR21:AR22)</f>
        <v>753.02013422818789</v>
      </c>
      <c r="AS23" s="15">
        <f>SUM(AS21:AS22)</f>
        <v>754.09395973154358</v>
      </c>
      <c r="AT23" s="141">
        <f>SUM(AT21:AT22)</f>
        <v>761.61073825503354</v>
      </c>
      <c r="AV23" s="15">
        <f>SUM(AV21:AV22)</f>
        <v>752.48322147651004</v>
      </c>
      <c r="AW23" s="141">
        <f>SUM(AW21:AW22)</f>
        <v>763.89261744966439</v>
      </c>
      <c r="AX23" s="15">
        <f>SUM(AX21:AX22)</f>
        <v>794.49664429530196</v>
      </c>
      <c r="AY23" s="141">
        <f>SUM(AY21:AY22)</f>
        <v>802.01342281879192</v>
      </c>
      <c r="BA23" s="15">
        <f>SUM(BA21:BA22)</f>
        <v>847.91946308724835</v>
      </c>
      <c r="BB23" s="141">
        <f>SUM(BB21:BB22)</f>
        <v>803.489932885906</v>
      </c>
      <c r="BC23" s="15">
        <f>SUM(BC21:BC22)</f>
        <v>799.73154362416108</v>
      </c>
      <c r="BD23" s="141">
        <f>SUM(BD21:BD22)</f>
        <v>809.5</v>
      </c>
      <c r="BF23" s="15">
        <f>SUM(BF21:BF22)</f>
        <v>803.03959731543625</v>
      </c>
      <c r="BG23" s="141">
        <f>SUM(BG21:BG22)</f>
        <v>801.7</v>
      </c>
      <c r="BI23" s="141"/>
    </row>
    <row r="24" spans="1:61">
      <c r="A24" s="15" t="s">
        <v>52</v>
      </c>
      <c r="C24" s="15">
        <f>(8+284+14)/7.45</f>
        <v>41.073825503355707</v>
      </c>
      <c r="D24" s="141">
        <f>(9+283+16)/7.45</f>
        <v>41.34228187919463</v>
      </c>
      <c r="E24" s="15">
        <v>41.208053691275168</v>
      </c>
      <c r="F24" s="141">
        <v>42.281879194630875</v>
      </c>
      <c r="H24" s="152">
        <v>43.624161073825505</v>
      </c>
      <c r="I24" s="141">
        <v>44.161073825503358</v>
      </c>
      <c r="J24" s="15">
        <v>43.221476510067113</v>
      </c>
      <c r="K24" s="141">
        <v>42.550335570469798</v>
      </c>
      <c r="M24" s="15">
        <v>46.442953020134226</v>
      </c>
      <c r="N24" s="141">
        <v>50.469798657718123</v>
      </c>
      <c r="O24" s="15">
        <v>62.147651006711406</v>
      </c>
      <c r="P24" s="141">
        <v>63.624161073825505</v>
      </c>
      <c r="R24" s="15">
        <v>68.322147651006716</v>
      </c>
      <c r="S24" s="141">
        <v>69.127516778523486</v>
      </c>
      <c r="T24" s="15">
        <f>(125+286+98)/7.45</f>
        <v>68.322147651006716</v>
      </c>
      <c r="U24" s="141">
        <f>(91+280+123)/7.45</f>
        <v>66.308724832214764</v>
      </c>
      <c r="W24" s="15">
        <v>66.174496644295303</v>
      </c>
      <c r="X24" s="141">
        <f>(369.9+144.2)/7.45</f>
        <v>69.006711409395962</v>
      </c>
      <c r="Y24" s="15">
        <v>70.872483221476514</v>
      </c>
      <c r="Z24" s="141">
        <v>73.959731543624159</v>
      </c>
      <c r="AB24" s="15">
        <f>(147+286+42)/7.45</f>
        <v>63.758389261744966</v>
      </c>
      <c r="AC24" s="141">
        <v>73.557046979865774</v>
      </c>
      <c r="AD24" s="15">
        <v>76.912751677852341</v>
      </c>
      <c r="AE24" s="141">
        <v>78.255033557046971</v>
      </c>
      <c r="AG24" s="15">
        <v>74.09395973154362</v>
      </c>
      <c r="AH24" s="141">
        <v>68.053691275167779</v>
      </c>
      <c r="AI24" s="15">
        <v>63.221476510067113</v>
      </c>
      <c r="AJ24" s="141">
        <v>81.610738255033553</v>
      </c>
      <c r="AL24" s="15">
        <v>75.570469798657712</v>
      </c>
      <c r="AM24" s="141">
        <v>71.677852348993284</v>
      </c>
      <c r="AN24" s="15">
        <v>73.959731543624159</v>
      </c>
      <c r="AO24" s="141">
        <v>88.724832214765101</v>
      </c>
      <c r="AQ24" s="15">
        <v>91.140939597315437</v>
      </c>
      <c r="AR24" s="141">
        <v>90.335570469798654</v>
      </c>
      <c r="AS24" s="15">
        <f>(251+343+71)/7.45</f>
        <v>89.261744966442947</v>
      </c>
      <c r="AT24" s="141">
        <f>(345.8+342.3+69.5)/7.45</f>
        <v>101.69127516778524</v>
      </c>
      <c r="AV24" s="15">
        <v>93.422818791946312</v>
      </c>
      <c r="AW24" s="141">
        <v>100.93959731543625</v>
      </c>
      <c r="AX24" s="15">
        <f>(379+343+69)/7.45</f>
        <v>106.1744966442953</v>
      </c>
      <c r="AY24" s="141">
        <v>117.18120805369128</v>
      </c>
      <c r="BA24" s="15">
        <v>108.85906040268456</v>
      </c>
      <c r="BB24" s="141">
        <v>117.71812080536913</v>
      </c>
      <c r="BC24" s="15">
        <v>119.32885906040268</v>
      </c>
      <c r="BD24" s="141">
        <v>117.5</v>
      </c>
      <c r="BF24" s="15">
        <v>113</v>
      </c>
      <c r="BG24" s="141">
        <v>112.9</v>
      </c>
      <c r="BI24" s="141"/>
    </row>
    <row r="25" spans="1:61">
      <c r="A25" s="15" t="s">
        <v>120</v>
      </c>
      <c r="C25" s="15">
        <v>102.01342281879194</v>
      </c>
      <c r="D25" s="141">
        <v>97.583892617449663</v>
      </c>
      <c r="E25" s="15">
        <v>136.10738255033556</v>
      </c>
      <c r="F25" s="141">
        <v>131.6778523489933</v>
      </c>
      <c r="H25" s="15">
        <v>131.6778523489933</v>
      </c>
      <c r="I25" s="141">
        <v>131.54362416107384</v>
      </c>
      <c r="J25" s="15">
        <v>131.54362416107384</v>
      </c>
      <c r="K25" s="141">
        <v>198.25503355704697</v>
      </c>
      <c r="M25" s="15">
        <v>229.93288590604027</v>
      </c>
      <c r="N25" s="141">
        <v>231.00671140939596</v>
      </c>
      <c r="O25" s="15">
        <v>230.60402684563758</v>
      </c>
      <c r="P25" s="141">
        <v>180.26845637583892</v>
      </c>
      <c r="R25" s="15">
        <v>189.26174496644296</v>
      </c>
      <c r="S25" s="141">
        <v>196.24161073825502</v>
      </c>
      <c r="T25" s="15">
        <v>192.75167785234899</v>
      </c>
      <c r="U25" s="141">
        <v>176.51006711409394</v>
      </c>
      <c r="W25" s="15">
        <v>165.1006711409396</v>
      </c>
      <c r="X25" s="141">
        <v>255.9731543624161</v>
      </c>
      <c r="Y25" s="15">
        <v>290.73825503355704</v>
      </c>
      <c r="Z25" s="141">
        <v>261.34228187919462</v>
      </c>
      <c r="AB25" s="15">
        <v>315.70469798657717</v>
      </c>
      <c r="AC25" s="141">
        <v>365.36912751677852</v>
      </c>
      <c r="AD25" s="15">
        <v>384.96644295302013</v>
      </c>
      <c r="AE25" s="141">
        <v>463.35570469798654</v>
      </c>
      <c r="AG25" s="15">
        <v>550.06711409395973</v>
      </c>
      <c r="AH25" s="141">
        <v>558.12080536912754</v>
      </c>
      <c r="AI25" s="15">
        <v>492.75167785234896</v>
      </c>
      <c r="AJ25" s="141">
        <v>477.58389261744964</v>
      </c>
      <c r="AL25" s="15">
        <v>520</v>
      </c>
      <c r="AM25" s="141">
        <v>254.36241610738256</v>
      </c>
      <c r="AN25" s="15">
        <v>270.06711409395973</v>
      </c>
      <c r="AO25" s="141">
        <v>73.020134228187914</v>
      </c>
      <c r="AQ25" s="15">
        <v>151.54362416107381</v>
      </c>
      <c r="AR25" s="141">
        <v>230.46979865771812</v>
      </c>
      <c r="AS25" s="15">
        <v>230.46979865771812</v>
      </c>
      <c r="AT25" s="141">
        <v>281.61073825503354</v>
      </c>
      <c r="AV25" s="15">
        <v>279.59731543624162</v>
      </c>
      <c r="AW25" s="141">
        <v>262.14765100671138</v>
      </c>
      <c r="AX25" s="15">
        <v>286.57718120805367</v>
      </c>
      <c r="AY25" s="141">
        <v>177.18120805369128</v>
      </c>
      <c r="BA25" s="15">
        <v>210.06711409395973</v>
      </c>
      <c r="BB25" s="141">
        <v>251.67785234899327</v>
      </c>
      <c r="BC25" s="15">
        <v>202.28187919463087</v>
      </c>
      <c r="BD25" s="141">
        <v>143.9</v>
      </c>
      <c r="BF25" s="15">
        <v>197.9</v>
      </c>
      <c r="BG25" s="141">
        <v>212.5</v>
      </c>
      <c r="BI25" s="141"/>
    </row>
    <row r="26" spans="1:61">
      <c r="A26" s="15" t="s">
        <v>121</v>
      </c>
      <c r="C26" s="15">
        <v>24.697986577181208</v>
      </c>
      <c r="D26" s="141">
        <v>36.107382550335572</v>
      </c>
      <c r="E26" s="15">
        <v>32.348993288590606</v>
      </c>
      <c r="F26" s="141">
        <v>29.261744966442951</v>
      </c>
      <c r="H26" s="15">
        <v>63.624161073825505</v>
      </c>
      <c r="I26" s="141">
        <v>103.89261744966443</v>
      </c>
      <c r="J26" s="15">
        <v>76.77852348993288</v>
      </c>
      <c r="K26" s="141">
        <v>83.758389261744966</v>
      </c>
      <c r="M26" s="15">
        <v>88.724832214765101</v>
      </c>
      <c r="N26" s="141">
        <v>119.32885906040268</v>
      </c>
      <c r="O26" s="15">
        <v>125.7718120805369</v>
      </c>
      <c r="P26" s="141">
        <v>161.74496644295303</v>
      </c>
      <c r="R26" s="15">
        <v>169.93288590604027</v>
      </c>
      <c r="S26" s="141">
        <v>233.69127516778522</v>
      </c>
      <c r="T26" s="15">
        <v>223.35570469798657</v>
      </c>
      <c r="U26" s="141">
        <v>189.93288590604027</v>
      </c>
      <c r="W26" s="15">
        <v>166.84563758389262</v>
      </c>
      <c r="X26" s="141">
        <v>110.87248322147651</v>
      </c>
      <c r="Y26" s="15">
        <v>83.087248322147644</v>
      </c>
      <c r="Z26" s="141">
        <v>124.29530201342281</v>
      </c>
      <c r="AB26" s="15">
        <v>151.81208053691276</v>
      </c>
      <c r="AC26" s="141">
        <v>179.59731543624162</v>
      </c>
      <c r="AD26" s="15">
        <v>200.13422818791946</v>
      </c>
      <c r="AE26" s="141">
        <v>128.45637583892616</v>
      </c>
      <c r="AG26" s="15">
        <v>138.38926174496643</v>
      </c>
      <c r="AH26" s="141">
        <v>145.63758389261744</v>
      </c>
      <c r="AI26" s="15">
        <v>164.69798657718121</v>
      </c>
      <c r="AJ26" s="141">
        <v>161.47651006711408</v>
      </c>
      <c r="AL26" s="15">
        <v>135.30201342281879</v>
      </c>
      <c r="AM26" s="141">
        <v>145.63758389261744</v>
      </c>
      <c r="AN26" s="15">
        <v>145.1006711409396</v>
      </c>
      <c r="AO26" s="141">
        <v>244.69798657718121</v>
      </c>
      <c r="AQ26" s="15">
        <v>281.07382550335569</v>
      </c>
      <c r="AR26" s="141">
        <v>223.08724832214764</v>
      </c>
      <c r="AS26" s="15">
        <v>204.42953020134229</v>
      </c>
      <c r="AT26" s="141">
        <v>64.429530201342274</v>
      </c>
      <c r="AV26" s="15">
        <v>59.865771812080538</v>
      </c>
      <c r="AW26" s="141">
        <v>58.120805369127517</v>
      </c>
      <c r="AX26" s="15">
        <v>48.322147651006709</v>
      </c>
      <c r="AY26" s="141">
        <v>35.973154362416103</v>
      </c>
      <c r="BA26" s="15">
        <v>19.19463087248322</v>
      </c>
      <c r="BB26" s="141">
        <v>15.436241610738255</v>
      </c>
      <c r="BC26" s="15">
        <v>13.020134228187919</v>
      </c>
      <c r="BD26" s="141">
        <v>11.6</v>
      </c>
      <c r="BF26" s="15">
        <v>15.2</v>
      </c>
      <c r="BG26" s="141">
        <v>16.3</v>
      </c>
      <c r="BI26" s="141"/>
    </row>
    <row r="27" spans="1:61" s="142" customFormat="1">
      <c r="A27" s="142" t="s">
        <v>89</v>
      </c>
      <c r="B27" s="143"/>
      <c r="C27" s="142">
        <v>251.27516778523488</v>
      </c>
      <c r="D27" s="144">
        <v>263.75838926174498</v>
      </c>
      <c r="E27" s="142">
        <v>255.57046979865771</v>
      </c>
      <c r="F27" s="144">
        <v>258.79194630872485</v>
      </c>
      <c r="G27" s="143"/>
      <c r="H27" s="142">
        <v>255.30201342281879</v>
      </c>
      <c r="I27" s="144">
        <v>300.13422818791946</v>
      </c>
      <c r="J27" s="142">
        <v>313.95973154362417</v>
      </c>
      <c r="K27" s="144">
        <v>285.36912751677852</v>
      </c>
      <c r="L27" s="143"/>
      <c r="M27" s="142">
        <v>317.18120805369125</v>
      </c>
      <c r="N27" s="144">
        <v>366.44295302013421</v>
      </c>
      <c r="O27" s="142">
        <v>409.93288590604027</v>
      </c>
      <c r="P27" s="144">
        <f>(1126+1668)/7.45</f>
        <v>375.03355704697987</v>
      </c>
      <c r="Q27" s="143"/>
      <c r="R27" s="142">
        <v>415.30201342281879</v>
      </c>
      <c r="S27" s="144">
        <v>418.25503355704694</v>
      </c>
      <c r="T27" s="142">
        <v>410.20134228187919</v>
      </c>
      <c r="U27" s="144">
        <f>(2998+109+139)/7.45</f>
        <v>435.70469798657717</v>
      </c>
      <c r="V27" s="143"/>
      <c r="W27" s="142">
        <v>441.07382550335569</v>
      </c>
      <c r="X27" s="144">
        <f>(117.2+984.1+1998.2)/7.45</f>
        <v>416.04026845637583</v>
      </c>
      <c r="Y27" s="142">
        <v>429.66442953020135</v>
      </c>
      <c r="Z27" s="144">
        <v>397.31543624161071</v>
      </c>
      <c r="AB27" s="142">
        <v>452.48322147651004</v>
      </c>
      <c r="AC27" s="144">
        <v>466.17449664429529</v>
      </c>
      <c r="AD27" s="142">
        <v>459.32885906040269</v>
      </c>
      <c r="AE27" s="144">
        <v>463.35570469798654</v>
      </c>
      <c r="AG27" s="142">
        <v>534.89932885906035</v>
      </c>
      <c r="AH27" s="144">
        <v>508.85906040268458</v>
      </c>
      <c r="AI27" s="142">
        <v>568.05369127516781</v>
      </c>
      <c r="AJ27" s="144">
        <v>537.44966442953023</v>
      </c>
      <c r="AL27" s="142">
        <v>564.29530201342277</v>
      </c>
      <c r="AM27" s="144">
        <v>578.92617449664431</v>
      </c>
      <c r="AN27" s="142">
        <v>524.42953020134223</v>
      </c>
      <c r="AO27" s="144">
        <v>559.86577181208054</v>
      </c>
      <c r="AQ27" s="142">
        <v>561.07382550335569</v>
      </c>
      <c r="AR27" s="144">
        <v>494.36241610738256</v>
      </c>
      <c r="AS27" s="142">
        <v>538.38926174496646</v>
      </c>
      <c r="AT27" s="144">
        <v>534.89932885906035</v>
      </c>
      <c r="AV27" s="142">
        <v>578.12080536912754</v>
      </c>
      <c r="AW27" s="144">
        <v>566.71140939597319</v>
      </c>
      <c r="AX27" s="142">
        <v>567.3825503355705</v>
      </c>
      <c r="AY27" s="144">
        <v>523.75838926174492</v>
      </c>
      <c r="BA27" s="142">
        <v>665.36912751677846</v>
      </c>
      <c r="BB27" s="144">
        <v>672.34899328859058</v>
      </c>
      <c r="BC27" s="142">
        <v>601.47651006711408</v>
      </c>
      <c r="BD27" s="144">
        <v>601.1</v>
      </c>
      <c r="BF27" s="142">
        <v>607.29999999999995</v>
      </c>
      <c r="BG27" s="144">
        <v>643.79999999999995</v>
      </c>
      <c r="BI27" s="144"/>
    </row>
    <row r="28" spans="1:61" s="145" customFormat="1">
      <c r="A28" s="145" t="s">
        <v>90</v>
      </c>
      <c r="B28" s="146"/>
      <c r="C28" s="145">
        <f>SUM(C23:C27)</f>
        <v>794.89932885906035</v>
      </c>
      <c r="D28" s="147">
        <f>SUM(D23:D27)</f>
        <v>809.530201342282</v>
      </c>
      <c r="E28" s="145">
        <f>SUM(E23:E27)</f>
        <v>819.06040268456377</v>
      </c>
      <c r="F28" s="147">
        <f>SUM(F23:F27)</f>
        <v>829.1275167785235</v>
      </c>
      <c r="G28" s="146"/>
      <c r="H28" s="145">
        <f>SUM(H23:H27)</f>
        <v>866.71140939597308</v>
      </c>
      <c r="I28" s="147">
        <f>SUM(I23:I27)</f>
        <v>928.32214765100673</v>
      </c>
      <c r="J28" s="145">
        <f>SUM(J23:J27)</f>
        <v>924.83221476510062</v>
      </c>
      <c r="K28" s="147">
        <f>SUM(K23:K27)</f>
        <v>986.57718120805362</v>
      </c>
      <c r="L28" s="146"/>
      <c r="M28" s="145">
        <f>SUM(M23:M27)</f>
        <v>1072.4832214765099</v>
      </c>
      <c r="N28" s="147">
        <f>SUM(N23:N27)</f>
        <v>1152.7516778523488</v>
      </c>
      <c r="O28" s="145">
        <f>SUM(O23:O27)</f>
        <v>1229.6644295302012</v>
      </c>
      <c r="P28" s="147">
        <f>SUM(P23:P27)</f>
        <v>1221.3422818791946</v>
      </c>
      <c r="Q28" s="146"/>
      <c r="R28" s="145">
        <f>SUM(R23:R27)</f>
        <v>1295.9731543624162</v>
      </c>
      <c r="S28" s="147">
        <f>SUM(S23:S27)</f>
        <v>1373.2885906040267</v>
      </c>
      <c r="T28" s="145">
        <f>SUM(T23:T27)</f>
        <v>1383.7583892617449</v>
      </c>
      <c r="U28" s="147">
        <f>SUM(U23:U27)</f>
        <v>1333.5570469798656</v>
      </c>
      <c r="V28" s="146"/>
      <c r="W28" s="145">
        <f>SUM(W23:W27)</f>
        <v>1306.7114093959731</v>
      </c>
      <c r="X28" s="147">
        <f>SUM(X23:X27)</f>
        <v>1327.3691275167787</v>
      </c>
      <c r="Y28" s="145">
        <f>SUM(Y23:Y27)</f>
        <v>1354.7651006711408</v>
      </c>
      <c r="Z28" s="147">
        <f>SUM(Z23:Z27)</f>
        <v>1358.9261744966443</v>
      </c>
      <c r="AB28" s="145">
        <f>SUM(AB23:AB27)</f>
        <v>1498.1208053691275</v>
      </c>
      <c r="AC28" s="147">
        <f>SUM(AC23:AC27)</f>
        <v>1628.724832214765</v>
      </c>
      <c r="AD28" s="145">
        <f>SUM(AD23:AD27)</f>
        <v>1658.1208053691275</v>
      </c>
      <c r="AE28" s="147">
        <f>SUM(AE23:AE27)</f>
        <v>1685.3691275167785</v>
      </c>
      <c r="AG28" s="145">
        <f>SUM(AG23:AG27)</f>
        <v>1833.5570469798658</v>
      </c>
      <c r="AH28" s="147">
        <f>SUM(AH23:AH27)</f>
        <v>1816.1073825503354</v>
      </c>
      <c r="AI28" s="145">
        <f>SUM(AI23:AI27)</f>
        <v>1826.4429530201342</v>
      </c>
      <c r="AJ28" s="147">
        <f>SUM(AJ23:AJ27)</f>
        <v>1803.8926174496644</v>
      </c>
      <c r="AL28" s="145">
        <f>SUM(AL23:AL27)</f>
        <v>1848.4563758389261</v>
      </c>
      <c r="AM28" s="147">
        <f>SUM(AM23:AM27)</f>
        <v>1796.6442953020132</v>
      </c>
      <c r="AN28" s="145">
        <f>SUM(AN23:AN27)</f>
        <v>1772.8859060402683</v>
      </c>
      <c r="AO28" s="147">
        <f>SUM(AO23:AO27)</f>
        <v>1736.3758389261745</v>
      </c>
      <c r="AQ28" s="145">
        <f>SUM(AQ23:AQ27)</f>
        <v>1833.6912751677851</v>
      </c>
      <c r="AR28" s="147">
        <f>SUM(AR23:AR27)</f>
        <v>1791.275167785235</v>
      </c>
      <c r="AS28" s="145">
        <f>SUM(AS23:AS27)</f>
        <v>1816.6442953020135</v>
      </c>
      <c r="AT28" s="147">
        <f>SUM(AT23:AT27)</f>
        <v>1744.2416107382546</v>
      </c>
      <c r="AV28" s="145">
        <f>SUM(AV23:AV27)</f>
        <v>1763.489932885906</v>
      </c>
      <c r="AW28" s="147">
        <f>SUM(AW23:AW27)</f>
        <v>1751.8120805369126</v>
      </c>
      <c r="AX28" s="145">
        <f>SUM(AX23:AX27)</f>
        <v>1802.9530201342282</v>
      </c>
      <c r="AY28" s="147">
        <f>SUM(AY23:AY27)</f>
        <v>1656.1073825503356</v>
      </c>
      <c r="BA28" s="145">
        <f>SUM(BA23:BA27)</f>
        <v>1851.4093959731545</v>
      </c>
      <c r="BB28" s="147">
        <f>SUM(BB23:BB27)</f>
        <v>1860.6711409395971</v>
      </c>
      <c r="BC28" s="145">
        <f>SUM(BC23:BC27)</f>
        <v>1735.8389261744967</v>
      </c>
      <c r="BD28" s="147">
        <f>SUM(BD23:BD27)</f>
        <v>1683.6</v>
      </c>
      <c r="BF28" s="145">
        <f>SUM(BF23:BF27)</f>
        <v>1736.4395973154362</v>
      </c>
      <c r="BG28" s="147">
        <f>SUM(BG23:BG27)</f>
        <v>1787.1999999999998</v>
      </c>
      <c r="BI28" s="147"/>
    </row>
    <row r="29" spans="1:61">
      <c r="C29" s="153"/>
      <c r="D29" s="154"/>
      <c r="E29" s="153"/>
      <c r="F29" s="154"/>
      <c r="H29" s="153"/>
      <c r="I29" s="154"/>
      <c r="J29" s="153"/>
      <c r="K29" s="154"/>
      <c r="M29" s="153"/>
      <c r="N29" s="154"/>
      <c r="O29" s="153"/>
      <c r="P29" s="154"/>
      <c r="R29" s="153"/>
      <c r="S29" s="154"/>
      <c r="T29" s="153"/>
      <c r="U29" s="154"/>
      <c r="W29" s="153"/>
      <c r="X29" s="154"/>
      <c r="Y29" s="153"/>
      <c r="Z29" s="154"/>
      <c r="AB29" s="153"/>
      <c r="AC29" s="154"/>
      <c r="AD29" s="153"/>
      <c r="AE29" s="154"/>
      <c r="AG29" s="153"/>
      <c r="AH29" s="154"/>
      <c r="AI29" s="153"/>
      <c r="AJ29" s="154"/>
      <c r="AL29" s="153"/>
      <c r="AM29" s="154"/>
      <c r="AN29" s="153"/>
      <c r="AO29" s="154"/>
      <c r="AQ29" s="153"/>
      <c r="AR29" s="154"/>
      <c r="AS29" s="153"/>
      <c r="AT29" s="154"/>
      <c r="AV29" s="153"/>
      <c r="AW29" s="154"/>
      <c r="AX29" s="153"/>
      <c r="AY29" s="154"/>
      <c r="BA29" s="153"/>
      <c r="BB29" s="154"/>
      <c r="BC29" s="153"/>
      <c r="BD29" s="154"/>
      <c r="BF29" s="153"/>
      <c r="BG29" s="154"/>
      <c r="BH29" s="153"/>
      <c r="BI29" s="154"/>
    </row>
    <row r="30" spans="1:61">
      <c r="A30" s="155"/>
      <c r="B30" s="136"/>
      <c r="C30" s="156"/>
      <c r="D30" s="157"/>
      <c r="E30" s="156"/>
      <c r="F30" s="157"/>
      <c r="G30" s="136"/>
      <c r="H30" s="156"/>
      <c r="I30" s="157"/>
      <c r="J30" s="156"/>
      <c r="K30" s="157"/>
      <c r="L30" s="136"/>
      <c r="M30" s="158"/>
      <c r="N30" s="159"/>
      <c r="O30" s="158"/>
      <c r="P30" s="159"/>
      <c r="Q30" s="136"/>
      <c r="R30" s="136"/>
      <c r="S30" s="160"/>
      <c r="T30" s="136"/>
      <c r="U30" s="160"/>
      <c r="V30" s="136"/>
      <c r="W30" s="158"/>
      <c r="X30" s="159"/>
      <c r="Y30" s="158"/>
      <c r="Z30" s="159"/>
      <c r="AB30" s="158"/>
      <c r="AC30" s="159"/>
      <c r="AD30" s="158"/>
      <c r="AE30" s="159"/>
      <c r="AG30" s="158"/>
      <c r="AH30" s="159"/>
      <c r="AI30" s="158"/>
      <c r="AJ30" s="159"/>
      <c r="AL30" s="158"/>
      <c r="AM30" s="159"/>
      <c r="AN30" s="158"/>
      <c r="AO30" s="159"/>
      <c r="AQ30" s="158"/>
      <c r="AR30" s="159"/>
      <c r="AS30" s="158"/>
      <c r="AT30" s="159"/>
      <c r="AV30" s="158"/>
      <c r="AW30" s="159"/>
      <c r="AX30" s="158"/>
      <c r="AY30" s="159"/>
      <c r="BA30" s="158"/>
      <c r="BB30" s="159"/>
      <c r="BC30" s="158"/>
      <c r="BD30" s="159"/>
      <c r="BF30" s="158"/>
      <c r="BG30" s="159"/>
      <c r="BH30" s="158"/>
      <c r="BI30" s="159"/>
    </row>
    <row r="31" spans="1:61" s="165" customFormat="1">
      <c r="A31" s="161" t="s">
        <v>91</v>
      </c>
      <c r="B31" s="162"/>
      <c r="C31" s="163"/>
      <c r="D31" s="164"/>
      <c r="E31" s="163"/>
      <c r="F31" s="164"/>
      <c r="G31" s="162"/>
      <c r="H31" s="163"/>
      <c r="I31" s="164"/>
      <c r="J31" s="163"/>
      <c r="K31" s="164"/>
      <c r="L31" s="162"/>
      <c r="M31" s="163"/>
      <c r="N31" s="164"/>
      <c r="O31" s="163"/>
      <c r="P31" s="164"/>
      <c r="Q31" s="162"/>
      <c r="R31" s="163"/>
      <c r="S31" s="164"/>
      <c r="T31" s="163"/>
      <c r="U31" s="164"/>
      <c r="V31" s="162"/>
      <c r="W31" s="163"/>
      <c r="X31" s="164"/>
      <c r="Y31" s="163"/>
      <c r="Z31" s="164"/>
      <c r="AB31" s="163"/>
      <c r="AC31" s="164"/>
      <c r="AD31" s="163"/>
      <c r="AE31" s="164"/>
      <c r="AG31" s="163"/>
      <c r="AH31" s="164"/>
      <c r="AI31" s="163"/>
      <c r="AJ31" s="164"/>
      <c r="AL31" s="163"/>
      <c r="AM31" s="164"/>
      <c r="AN31" s="163"/>
      <c r="AO31" s="164"/>
      <c r="AQ31" s="163"/>
      <c r="AR31" s="164"/>
      <c r="AS31" s="163"/>
      <c r="AT31" s="164"/>
      <c r="AV31" s="163"/>
      <c r="AW31" s="164"/>
      <c r="AX31" s="163"/>
      <c r="AY31" s="164"/>
      <c r="BA31" s="163"/>
      <c r="BB31" s="164"/>
      <c r="BC31" s="163"/>
      <c r="BD31" s="164"/>
      <c r="BF31" s="163"/>
      <c r="BG31" s="164"/>
      <c r="BH31" s="163"/>
      <c r="BI31" s="164"/>
    </row>
    <row r="32" spans="1:61">
      <c r="D32" s="141"/>
      <c r="F32" s="141"/>
      <c r="I32" s="141"/>
      <c r="K32" s="141"/>
      <c r="N32" s="141"/>
      <c r="P32" s="141"/>
      <c r="S32" s="141"/>
      <c r="U32" s="141"/>
      <c r="X32" s="141"/>
      <c r="Z32" s="141"/>
      <c r="AC32" s="141"/>
      <c r="AE32" s="141"/>
      <c r="AH32" s="141"/>
      <c r="AJ32" s="141"/>
      <c r="AM32" s="141"/>
      <c r="AO32" s="141"/>
      <c r="AR32" s="141"/>
      <c r="AT32" s="141"/>
      <c r="AW32" s="141"/>
      <c r="AY32" s="141"/>
      <c r="BB32" s="141"/>
      <c r="BD32" s="141"/>
      <c r="BG32" s="141"/>
      <c r="BI32" s="141"/>
    </row>
    <row r="33" spans="1:61 16384:16384">
      <c r="A33" s="15" t="s">
        <v>49</v>
      </c>
      <c r="C33" s="15">
        <v>369.1275167785235</v>
      </c>
      <c r="D33" s="141">
        <f>+C41</f>
        <v>375.83892617449663</v>
      </c>
      <c r="E33" s="15">
        <f>+D41</f>
        <v>370.73825503355704</v>
      </c>
      <c r="F33" s="141">
        <f>+E41</f>
        <v>353.82550335570471</v>
      </c>
      <c r="H33" s="15">
        <f>F41</f>
        <v>367.11409395973152</v>
      </c>
      <c r="I33" s="141">
        <f>H41</f>
        <v>372.48322147651004</v>
      </c>
      <c r="J33" s="15">
        <f>I41</f>
        <v>348.5906040268456</v>
      </c>
      <c r="K33" s="141">
        <f>J41</f>
        <v>359.32885906040264</v>
      </c>
      <c r="M33" s="15">
        <f>K41</f>
        <v>376.6442953020134</v>
      </c>
      <c r="N33" s="141">
        <f>+M41</f>
        <v>390.20134228187914</v>
      </c>
      <c r="O33" s="15">
        <f>+N41</f>
        <v>385.50335570469792</v>
      </c>
      <c r="P33" s="141">
        <f>+O41</f>
        <v>401.2080536912751</v>
      </c>
      <c r="R33" s="15">
        <f>+P41</f>
        <v>440.67114093959725</v>
      </c>
      <c r="S33" s="141">
        <f>+R41</f>
        <v>453.15436241610735</v>
      </c>
      <c r="T33" s="15">
        <f>+S41</f>
        <v>455.97315436241604</v>
      </c>
      <c r="U33" s="141">
        <f>+T41</f>
        <v>489.12751677852344</v>
      </c>
      <c r="W33" s="15">
        <f>+U41</f>
        <v>465.06040268456371</v>
      </c>
      <c r="X33" s="141">
        <f>+W41</f>
        <v>467.47651006711402</v>
      </c>
      <c r="Y33" s="15">
        <f>+X41</f>
        <v>475.39597315436237</v>
      </c>
      <c r="Z33" s="141">
        <f>+Y41</f>
        <v>480.3624161073825</v>
      </c>
      <c r="AB33" s="15">
        <f>+Z41</f>
        <v>501.97315436241604</v>
      </c>
      <c r="AC33" s="141">
        <f>+AB41</f>
        <v>514.32214765100662</v>
      </c>
      <c r="AD33" s="15">
        <f>+AC41</f>
        <v>543.98657718120796</v>
      </c>
      <c r="AE33" s="141">
        <f>+AD41</f>
        <v>536.73825503355692</v>
      </c>
      <c r="AG33" s="15">
        <f>+AE41</f>
        <v>551.9060402684562</v>
      </c>
      <c r="AH33" s="141">
        <f>+AG41</f>
        <v>536.0671140939595</v>
      </c>
      <c r="AI33" s="15">
        <f>+AH41</f>
        <v>535.3959731543622</v>
      </c>
      <c r="AJ33" s="141">
        <f>+AI41</f>
        <v>537.67785234899316</v>
      </c>
      <c r="AL33" s="15">
        <f>+AJ41</f>
        <v>545.73154362416096</v>
      </c>
      <c r="AM33" s="141">
        <f>+AL41</f>
        <v>553.24832214765081</v>
      </c>
      <c r="AN33" s="15">
        <f>+AM41</f>
        <v>745.99999999999977</v>
      </c>
      <c r="AO33" s="141">
        <f>+AN41</f>
        <v>759.28859060402669</v>
      </c>
      <c r="AQ33" s="16">
        <f>+AO41</f>
        <v>770.02684563758373</v>
      </c>
      <c r="AR33" s="141">
        <f>+AQ41</f>
        <v>748.81879194630847</v>
      </c>
      <c r="AS33" s="15">
        <f>+AR41</f>
        <v>752.97986577181177</v>
      </c>
      <c r="AT33" s="141">
        <f>+AS41</f>
        <v>754.05369127516747</v>
      </c>
      <c r="AV33" s="16">
        <f>+AT41</f>
        <v>761.57046979865731</v>
      </c>
      <c r="AW33" s="141">
        <f>+AV41</f>
        <v>752.44295302013381</v>
      </c>
      <c r="AX33" s="15">
        <f>+AW41</f>
        <v>763.85234899328816</v>
      </c>
      <c r="AY33" s="141">
        <f>+AX41</f>
        <v>794.45637583892574</v>
      </c>
      <c r="BA33" s="16">
        <f>+AY41</f>
        <v>801.9731543624157</v>
      </c>
      <c r="BB33" s="141">
        <f>+BA41</f>
        <v>847.87919463087201</v>
      </c>
      <c r="BC33" s="15">
        <f>+BB41</f>
        <v>803.44966442952966</v>
      </c>
      <c r="BD33" s="141">
        <f>+BC41</f>
        <v>799.69127516778474</v>
      </c>
      <c r="BF33" s="16">
        <f>+BD41</f>
        <v>809.45127516778484</v>
      </c>
      <c r="BG33" s="141">
        <f>+BF41</f>
        <v>802.95227516778493</v>
      </c>
      <c r="BI33" s="141"/>
    </row>
    <row r="34" spans="1:61 16384:16384" s="142" customFormat="1">
      <c r="A34" s="142" t="s">
        <v>26</v>
      </c>
      <c r="B34" s="143"/>
      <c r="D34" s="144">
        <v>0</v>
      </c>
      <c r="E34" s="142">
        <v>0</v>
      </c>
      <c r="F34" s="144">
        <v>0</v>
      </c>
      <c r="G34" s="143"/>
      <c r="H34" s="142">
        <v>0</v>
      </c>
      <c r="I34" s="144">
        <v>0</v>
      </c>
      <c r="J34" s="142">
        <v>0</v>
      </c>
      <c r="K34" s="144">
        <v>0</v>
      </c>
      <c r="L34" s="143"/>
      <c r="M34" s="142">
        <v>0</v>
      </c>
      <c r="N34" s="144">
        <v>0</v>
      </c>
      <c r="O34" s="142">
        <v>0</v>
      </c>
      <c r="P34" s="144">
        <v>0</v>
      </c>
      <c r="Q34" s="143"/>
      <c r="R34" s="142">
        <v>0</v>
      </c>
      <c r="S34" s="144">
        <v>0</v>
      </c>
      <c r="T34" s="142">
        <v>0</v>
      </c>
      <c r="U34" s="144">
        <v>0</v>
      </c>
      <c r="V34" s="143"/>
      <c r="W34" s="142">
        <v>0</v>
      </c>
      <c r="X34" s="144">
        <v>0</v>
      </c>
      <c r="Y34" s="142">
        <v>0</v>
      </c>
      <c r="Z34" s="144">
        <v>0</v>
      </c>
      <c r="AB34" s="142">
        <v>0</v>
      </c>
      <c r="AC34" s="144">
        <v>0</v>
      </c>
      <c r="AD34" s="142">
        <v>0</v>
      </c>
      <c r="AE34" s="144">
        <v>0</v>
      </c>
      <c r="AG34" s="142">
        <v>0</v>
      </c>
      <c r="AH34" s="144">
        <v>0</v>
      </c>
      <c r="AI34" s="142">
        <v>0</v>
      </c>
      <c r="AJ34" s="144">
        <v>0</v>
      </c>
      <c r="AL34" s="142">
        <v>0</v>
      </c>
      <c r="AM34" s="144">
        <v>0</v>
      </c>
      <c r="AN34" s="142">
        <v>0</v>
      </c>
      <c r="AO34" s="144">
        <v>0</v>
      </c>
      <c r="AQ34" s="166">
        <v>0</v>
      </c>
      <c r="AR34" s="144">
        <v>0</v>
      </c>
      <c r="AS34" s="142">
        <v>0</v>
      </c>
      <c r="AT34" s="144">
        <v>0</v>
      </c>
      <c r="AV34" s="166">
        <v>0</v>
      </c>
      <c r="AW34" s="144">
        <v>0</v>
      </c>
      <c r="AX34" s="142">
        <v>0</v>
      </c>
      <c r="AY34" s="144">
        <v>0</v>
      </c>
      <c r="BA34" s="166">
        <v>0</v>
      </c>
      <c r="BB34" s="144">
        <v>0</v>
      </c>
      <c r="BC34" s="142">
        <v>0</v>
      </c>
      <c r="BD34" s="144">
        <v>0</v>
      </c>
      <c r="BF34" s="166">
        <v>0</v>
      </c>
      <c r="BG34" s="144">
        <v>0</v>
      </c>
      <c r="BI34" s="144"/>
    </row>
    <row r="35" spans="1:61 16384:16384">
      <c r="A35" s="15" t="s">
        <v>175</v>
      </c>
      <c r="C35" s="15">
        <f>SUM(C33:C34)</f>
        <v>369.1275167785235</v>
      </c>
      <c r="D35" s="141">
        <f>SUM(D33:D34)</f>
        <v>375.83892617449663</v>
      </c>
      <c r="E35" s="15">
        <f>SUM(E33:E34)</f>
        <v>370.73825503355704</v>
      </c>
      <c r="F35" s="141">
        <f>SUM(F33:F34)</f>
        <v>353.82550335570471</v>
      </c>
      <c r="H35" s="15">
        <f>SUM(H33:H34)</f>
        <v>367.11409395973152</v>
      </c>
      <c r="I35" s="141">
        <f>SUM(I33:I34)</f>
        <v>372.48322147651004</v>
      </c>
      <c r="J35" s="15">
        <f>SUM(J33:J34)</f>
        <v>348.5906040268456</v>
      </c>
      <c r="K35" s="141">
        <f>SUM(K33:K34)</f>
        <v>359.32885906040264</v>
      </c>
      <c r="M35" s="15">
        <f>SUM(M33:M34)</f>
        <v>376.6442953020134</v>
      </c>
      <c r="N35" s="141">
        <f>SUM(N33:N34)</f>
        <v>390.20134228187914</v>
      </c>
      <c r="O35" s="15">
        <f>SUM(O33:O34)</f>
        <v>385.50335570469792</v>
      </c>
      <c r="P35" s="141">
        <f>SUM(P33:P34)</f>
        <v>401.2080536912751</v>
      </c>
      <c r="R35" s="15">
        <f>SUM(R33:R34)</f>
        <v>440.67114093959725</v>
      </c>
      <c r="S35" s="141">
        <f>SUM(S33:S34)</f>
        <v>453.15436241610735</v>
      </c>
      <c r="T35" s="15">
        <f>SUM(T33:T34)</f>
        <v>455.97315436241604</v>
      </c>
      <c r="U35" s="141">
        <f>SUM(U33:U34)</f>
        <v>489.12751677852344</v>
      </c>
      <c r="W35" s="15">
        <f>SUM(W33:W34)</f>
        <v>465.06040268456371</v>
      </c>
      <c r="X35" s="141">
        <f>SUM(X33:X34)</f>
        <v>467.47651006711402</v>
      </c>
      <c r="Y35" s="15">
        <f>SUM(Y33:Y34)</f>
        <v>475.39597315436237</v>
      </c>
      <c r="Z35" s="141">
        <f>SUM(Z33:Z34)</f>
        <v>480.3624161073825</v>
      </c>
      <c r="AB35" s="15">
        <f>SUM(AB33:AB34)</f>
        <v>501.97315436241604</v>
      </c>
      <c r="AC35" s="141">
        <f>SUM(AC33:AC34)</f>
        <v>514.32214765100662</v>
      </c>
      <c r="AD35" s="15">
        <f>SUM(AD33:AD34)</f>
        <v>543.98657718120796</v>
      </c>
      <c r="AE35" s="141">
        <f>SUM(AE33:AE34)</f>
        <v>536.73825503355692</v>
      </c>
      <c r="AG35" s="15">
        <f>SUM(AG33:AG34)</f>
        <v>551.9060402684562</v>
      </c>
      <c r="AH35" s="141">
        <f>SUM(AH33:AH34)</f>
        <v>536.0671140939595</v>
      </c>
      <c r="AI35" s="15">
        <f>SUM(AI33:AI34)</f>
        <v>535.3959731543622</v>
      </c>
      <c r="AJ35" s="141">
        <f>SUM(AJ33:AJ34)</f>
        <v>537.67785234899316</v>
      </c>
      <c r="AL35" s="15">
        <f>SUM(AL33:AL34)</f>
        <v>545.73154362416096</v>
      </c>
      <c r="AM35" s="141">
        <f>SUM(AM33:AM34)</f>
        <v>553.24832214765081</v>
      </c>
      <c r="AN35" s="15">
        <f>SUM(AN33:AN34)</f>
        <v>745.99999999999977</v>
      </c>
      <c r="AO35" s="141">
        <f>SUM(AO33:AO34)</f>
        <v>759.28859060402669</v>
      </c>
      <c r="AQ35" s="16">
        <f>SUM(AQ33:AQ34)</f>
        <v>770.02684563758373</v>
      </c>
      <c r="AR35" s="141">
        <f>SUM(AR33:AR34)</f>
        <v>748.81879194630847</v>
      </c>
      <c r="AS35" s="16">
        <f>SUM(AS33:AS34)</f>
        <v>752.97986577181177</v>
      </c>
      <c r="AT35" s="141">
        <f>SUM(AT33:AT34)</f>
        <v>754.05369127516747</v>
      </c>
      <c r="AV35" s="16">
        <f>SUM(AV33:AV34)</f>
        <v>761.57046979865731</v>
      </c>
      <c r="AW35" s="141">
        <f>SUM(AW33:AW34)</f>
        <v>752.44295302013381</v>
      </c>
      <c r="AX35" s="16">
        <f>SUM(AX33:AX34)</f>
        <v>763.85234899328816</v>
      </c>
      <c r="AY35" s="141">
        <f>SUM(AY33:AY34)</f>
        <v>794.45637583892574</v>
      </c>
      <c r="BA35" s="16">
        <f>SUM(BA33:BA34)</f>
        <v>801.9731543624157</v>
      </c>
      <c r="BB35" s="141">
        <f>+BB34+BB33</f>
        <v>847.87919463087201</v>
      </c>
      <c r="BC35" s="16">
        <f>SUM(BC33:BC34)</f>
        <v>803.44966442952966</v>
      </c>
      <c r="BD35" s="141">
        <f>SUM(BD33:BD34)</f>
        <v>799.69127516778474</v>
      </c>
      <c r="BF35" s="16">
        <f>SUM(BF33:BF34)</f>
        <v>809.45127516778484</v>
      </c>
      <c r="BG35" s="141">
        <f>SUM(BG33:BG34)</f>
        <v>802.95227516778493</v>
      </c>
      <c r="BH35" s="16"/>
      <c r="BI35" s="141"/>
    </row>
    <row r="36" spans="1:61 16384:16384">
      <c r="A36" s="15" t="s">
        <v>92</v>
      </c>
      <c r="C36" s="15">
        <v>7.1140939597315436</v>
      </c>
      <c r="D36" s="141">
        <v>14.093959731543624</v>
      </c>
      <c r="E36" s="15">
        <v>15.70469798657718</v>
      </c>
      <c r="F36" s="141">
        <v>11.543624161073826</v>
      </c>
      <c r="H36" s="15">
        <v>11.409395973154362</v>
      </c>
      <c r="I36" s="141">
        <v>30.604026845637584</v>
      </c>
      <c r="J36" s="15">
        <v>19.597315436241612</v>
      </c>
      <c r="K36" s="141">
        <v>19.328859060402685</v>
      </c>
      <c r="M36" s="15">
        <v>16.107382550335569</v>
      </c>
      <c r="N36" s="141">
        <v>30.067114093959731</v>
      </c>
      <c r="O36" s="15">
        <v>22.416107382550337</v>
      </c>
      <c r="P36" s="141">
        <v>41.476510067114091</v>
      </c>
      <c r="R36" s="15">
        <v>18.523489932885905</v>
      </c>
      <c r="S36" s="141">
        <v>31.140939597315434</v>
      </c>
      <c r="T36" s="15">
        <v>18.65771812080537</v>
      </c>
      <c r="U36" s="141">
        <v>-14.093959731543624</v>
      </c>
      <c r="W36" s="15">
        <v>0</v>
      </c>
      <c r="X36" s="141">
        <v>12.617449664429531</v>
      </c>
      <c r="Y36" s="15">
        <v>9.5302013422818792</v>
      </c>
      <c r="Z36" s="141">
        <v>9.7986577181208059</v>
      </c>
      <c r="AB36" s="15">
        <v>8.724832214765101</v>
      </c>
      <c r="AC36" s="141">
        <v>13.020134228187919</v>
      </c>
      <c r="AD36" s="15">
        <v>10.738255033557047</v>
      </c>
      <c r="AE36" s="141">
        <v>3.7583892617449663</v>
      </c>
      <c r="AG36" s="15">
        <f>(+' Financial Highlights'!AM19)</f>
        <v>6.8456375838926187</v>
      </c>
      <c r="AH36" s="141">
        <f>(+' Financial Highlights'!AN19)</f>
        <v>4.0268456375838939</v>
      </c>
      <c r="AI36" s="15">
        <f>(+' Financial Highlights'!AO19)</f>
        <v>5.7718120805369111</v>
      </c>
      <c r="AJ36" s="141">
        <f>(+' Financial Highlights'!AP19)</f>
        <v>0.40268456375839023</v>
      </c>
      <c r="AL36" s="15">
        <v>4.1610738255033555</v>
      </c>
      <c r="AM36" s="141">
        <f>+' Financial Highlights'!AT19</f>
        <v>193.15436241610735</v>
      </c>
      <c r="AN36" s="15">
        <f>+' Financial Highlights'!AU19</f>
        <v>4.9664429530201355</v>
      </c>
      <c r="AO36" s="141">
        <f>+' Financial Highlights'!AV19</f>
        <v>13.288590604026844</v>
      </c>
      <c r="AQ36" s="16">
        <v>3.3557046979865772</v>
      </c>
      <c r="AR36" s="141">
        <v>10.201342281879194</v>
      </c>
      <c r="AS36" s="15">
        <v>7.1140939597315436</v>
      </c>
      <c r="AT36" s="141">
        <v>13.288590604026846</v>
      </c>
      <c r="AV36" s="16">
        <f>+' Financial Highlights'!BE19</f>
        <v>11.677852348993287</v>
      </c>
      <c r="AW36" s="141">
        <f>+' Financial Highlights'!BF19</f>
        <v>6.308724832214768</v>
      </c>
      <c r="AX36" s="16">
        <f>+' Financial Highlights'!BG19</f>
        <v>8.0536912751677843</v>
      </c>
      <c r="AY36" s="141">
        <f>+' Financial Highlights'!BH19</f>
        <v>11.543624161073826</v>
      </c>
      <c r="BA36" s="16">
        <f>+' Financial Highlights'!BK19</f>
        <v>12.214765100671148</v>
      </c>
      <c r="BB36" s="141">
        <f>+' Financial Highlights'!BL19</f>
        <v>-27.651006711409394</v>
      </c>
      <c r="BC36" s="16">
        <f>+' Financial Highlights'!BM19</f>
        <v>9.664429530201339</v>
      </c>
      <c r="BD36" s="141">
        <f>+' Financial Highlights'!BN19</f>
        <v>6.9599999999999955</v>
      </c>
      <c r="BF36" s="16">
        <f>+' Financial Highlights'!BQ19</f>
        <v>10.600999999999997</v>
      </c>
      <c r="BG36" s="141">
        <f>+' Financial Highlights'!BR19</f>
        <v>20.2</v>
      </c>
      <c r="BH36" s="16"/>
      <c r="BI36" s="141"/>
    </row>
    <row r="37" spans="1:61 16384:16384">
      <c r="A37" s="15" t="s">
        <v>133</v>
      </c>
      <c r="C37" s="15">
        <v>0</v>
      </c>
      <c r="D37" s="141">
        <v>0</v>
      </c>
      <c r="E37" s="15">
        <v>0</v>
      </c>
      <c r="F37" s="141">
        <v>0</v>
      </c>
      <c r="I37" s="141"/>
      <c r="K37" s="141"/>
      <c r="N37" s="141"/>
      <c r="P37" s="141"/>
      <c r="S37" s="141"/>
      <c r="U37" s="141"/>
      <c r="X37" s="141"/>
      <c r="Z37" s="141"/>
      <c r="AC37" s="141"/>
      <c r="AE37" s="141"/>
      <c r="AH37" s="141"/>
      <c r="AJ37" s="141"/>
      <c r="AM37" s="141"/>
      <c r="AO37" s="141"/>
      <c r="AQ37" s="16">
        <v>-3.7583892617449663</v>
      </c>
      <c r="AR37" s="141">
        <v>0</v>
      </c>
      <c r="AS37" s="15">
        <v>0</v>
      </c>
      <c r="AT37" s="141">
        <v>-0.26845637583892618</v>
      </c>
      <c r="AV37" s="16">
        <v>0</v>
      </c>
      <c r="AW37" s="141">
        <v>0</v>
      </c>
      <c r="AX37" s="15">
        <v>0</v>
      </c>
      <c r="AY37" s="141">
        <v>-9.1275167785234892</v>
      </c>
      <c r="BA37" s="16">
        <v>0</v>
      </c>
      <c r="BB37" s="141">
        <v>0</v>
      </c>
      <c r="BC37" s="15">
        <v>0</v>
      </c>
      <c r="BD37" s="141">
        <v>1.7</v>
      </c>
      <c r="BF37" s="16">
        <v>0</v>
      </c>
      <c r="BG37" s="141">
        <v>0</v>
      </c>
      <c r="BI37" s="141"/>
    </row>
    <row r="38" spans="1:61 16384:16384">
      <c r="A38" s="15" t="s">
        <v>93</v>
      </c>
      <c r="C38" s="15">
        <v>1.2080536912751678</v>
      </c>
      <c r="D38" s="141">
        <v>7.1140939597315436</v>
      </c>
      <c r="E38" s="15">
        <v>4.4295302013422821</v>
      </c>
      <c r="F38" s="141">
        <v>1.7449664429530201</v>
      </c>
      <c r="H38" s="15">
        <v>2.5503355704697985</v>
      </c>
      <c r="I38" s="141">
        <v>-16.778523489932887</v>
      </c>
      <c r="J38" s="15">
        <v>-8.8590604026845643</v>
      </c>
      <c r="K38" s="141">
        <v>-2.0134228187919461</v>
      </c>
      <c r="M38" s="15">
        <v>-3.4899328859060401</v>
      </c>
      <c r="N38" s="141">
        <v>-4.4295302013422821</v>
      </c>
      <c r="O38" s="15">
        <v>-6.7114093959731544</v>
      </c>
      <c r="P38" s="141">
        <v>-2.0134228187919461</v>
      </c>
      <c r="R38" s="15">
        <v>-6.5771812080536911</v>
      </c>
      <c r="S38" s="141">
        <v>4.9664429530201337</v>
      </c>
      <c r="T38" s="15">
        <v>14.36241610738255</v>
      </c>
      <c r="U38" s="141">
        <v>-10.10738255033557</v>
      </c>
      <c r="W38" s="16">
        <v>2.2818791946308723</v>
      </c>
      <c r="X38" s="141">
        <v>-4.9664429530201337</v>
      </c>
      <c r="Y38" s="17">
        <v>-4.6979865771812079</v>
      </c>
      <c r="Z38" s="141">
        <v>11.677852348993289</v>
      </c>
      <c r="AB38" s="16">
        <f>(-3+111)/7.45</f>
        <v>14.496644295302014</v>
      </c>
      <c r="AC38" s="141">
        <v>15.973154362416107</v>
      </c>
      <c r="AD38" s="17">
        <v>-18.120805369127517</v>
      </c>
      <c r="AE38" s="141">
        <v>11.275167785234899</v>
      </c>
      <c r="AG38" s="16">
        <v>-16.51006711409396</v>
      </c>
      <c r="AH38" s="141">
        <v>-4.9664429530201337</v>
      </c>
      <c r="AI38" s="17">
        <v>-3.6241610738255035</v>
      </c>
      <c r="AJ38" s="141">
        <v>7.651006711409396</v>
      </c>
      <c r="AL38" s="16">
        <v>6.7114093959731544</v>
      </c>
      <c r="AM38" s="141">
        <v>-0.53691275167785235</v>
      </c>
      <c r="AN38" s="17">
        <v>8.0536912751677843</v>
      </c>
      <c r="AO38" s="141">
        <v>-2.6845637583892619</v>
      </c>
      <c r="AQ38" s="16">
        <v>3.7583892617449663</v>
      </c>
      <c r="AR38" s="141">
        <v>-6.174496644295302</v>
      </c>
      <c r="AS38" s="17">
        <v>-6.174496644295302</v>
      </c>
      <c r="AT38" s="141">
        <v>-6.0402684563758386</v>
      </c>
      <c r="AV38" s="16">
        <v>-9.6644295302013425</v>
      </c>
      <c r="AW38" s="141">
        <v>4.9664429530201337</v>
      </c>
      <c r="AX38" s="17">
        <v>22.550335570469798</v>
      </c>
      <c r="AY38" s="141">
        <v>5.1006711409395971</v>
      </c>
      <c r="BA38" s="16">
        <v>35.302013422818789</v>
      </c>
      <c r="BB38" s="141">
        <f>(137-263)/7.45</f>
        <v>-16.912751677852349</v>
      </c>
      <c r="BC38" s="17">
        <v>-13.557046979865772</v>
      </c>
      <c r="BD38" s="141">
        <v>1.1000000000000001</v>
      </c>
      <c r="BF38" s="16">
        <v>-5.8</v>
      </c>
      <c r="BG38" s="141">
        <v>1.6</v>
      </c>
      <c r="BH38" s="17"/>
      <c r="BI38" s="141"/>
    </row>
    <row r="39" spans="1:61 16384:16384">
      <c r="A39" s="15" t="s">
        <v>223</v>
      </c>
      <c r="C39" s="15">
        <v>-1.6107382550335569</v>
      </c>
      <c r="D39" s="141">
        <v>0</v>
      </c>
      <c r="E39" s="15">
        <v>-37.04697986577181</v>
      </c>
      <c r="F39" s="141">
        <v>0</v>
      </c>
      <c r="H39" s="15">
        <v>-8.5906040268456376</v>
      </c>
      <c r="I39" s="141">
        <v>1.7449664429530201</v>
      </c>
      <c r="J39" s="15">
        <v>0</v>
      </c>
      <c r="K39" s="141">
        <v>0</v>
      </c>
      <c r="M39" s="15">
        <v>0.93959731543624159</v>
      </c>
      <c r="N39" s="141">
        <v>1.3422818791946309</v>
      </c>
      <c r="O39" s="15">
        <v>0</v>
      </c>
      <c r="P39" s="141">
        <v>0</v>
      </c>
      <c r="R39" s="15">
        <v>0.53691275167785235</v>
      </c>
      <c r="S39" s="141">
        <v>1.6107382550335569</v>
      </c>
      <c r="T39" s="15">
        <v>0.13422818791946309</v>
      </c>
      <c r="U39" s="141">
        <v>0.13422818791946309</v>
      </c>
      <c r="W39" s="16">
        <v>0.13422818791946309</v>
      </c>
      <c r="X39" s="141">
        <v>0.26845637583892618</v>
      </c>
      <c r="Y39" s="16">
        <v>0.13422818791946309</v>
      </c>
      <c r="Z39" s="141">
        <v>0.13422818791946309</v>
      </c>
      <c r="AB39" s="16">
        <v>0.26845637583892618</v>
      </c>
      <c r="AC39" s="141">
        <v>0.67114093959731547</v>
      </c>
      <c r="AD39" s="16">
        <v>0.13422818791946309</v>
      </c>
      <c r="AE39" s="141">
        <v>0.13422818791946309</v>
      </c>
      <c r="AG39" s="16">
        <v>0.13422818791946309</v>
      </c>
      <c r="AH39" s="141">
        <v>0.26845637583892618</v>
      </c>
      <c r="AI39" s="16">
        <v>0.13422818791946309</v>
      </c>
      <c r="AJ39" s="141">
        <v>0</v>
      </c>
      <c r="AL39" s="16">
        <f>(1+22)/7.45</f>
        <v>3.087248322147651</v>
      </c>
      <c r="AM39" s="141">
        <v>0.13422818791946309</v>
      </c>
      <c r="AN39" s="16">
        <v>0.26845637583892618</v>
      </c>
      <c r="AO39" s="141">
        <v>0.13422818791946309</v>
      </c>
      <c r="AQ39" s="16">
        <v>1.0738255033557047</v>
      </c>
      <c r="AR39" s="141">
        <v>0.13422818791946309</v>
      </c>
      <c r="AS39" s="16">
        <v>0.13422818791946309</v>
      </c>
      <c r="AT39" s="141">
        <v>0.53691275167785235</v>
      </c>
      <c r="AV39" s="16">
        <v>0.13422818791946309</v>
      </c>
      <c r="AW39" s="141">
        <v>0.13422818791946309</v>
      </c>
      <c r="AX39" s="16">
        <v>0</v>
      </c>
      <c r="AY39" s="141">
        <v>0</v>
      </c>
      <c r="BA39" s="16">
        <v>11.409395973154362</v>
      </c>
      <c r="BB39" s="141">
        <v>0.13422818791946309</v>
      </c>
      <c r="BC39" s="16">
        <v>0.13422818791946309</v>
      </c>
      <c r="BD39" s="141">
        <v>0</v>
      </c>
      <c r="BF39" s="16">
        <f>6.3+0.1-4.7</f>
        <v>1.6999999999999993</v>
      </c>
      <c r="BG39" s="141">
        <f>0.1-0.9+6.3-24.9-1.7-2</f>
        <v>-23.099999999999998</v>
      </c>
      <c r="BH39" s="16"/>
      <c r="BI39" s="141"/>
    </row>
    <row r="40" spans="1:61 16384:16384" s="142" customFormat="1">
      <c r="A40" s="142" t="s">
        <v>129</v>
      </c>
      <c r="B40" s="143"/>
      <c r="C40" s="142">
        <v>0</v>
      </c>
      <c r="D40" s="144">
        <v>-26.308724832214764</v>
      </c>
      <c r="E40" s="142">
        <v>0</v>
      </c>
      <c r="F40" s="144">
        <v>0</v>
      </c>
      <c r="G40" s="143"/>
      <c r="H40" s="142">
        <v>0</v>
      </c>
      <c r="I40" s="144">
        <v>-39.463087248322147</v>
      </c>
      <c r="J40" s="142">
        <v>0</v>
      </c>
      <c r="K40" s="144">
        <v>0</v>
      </c>
      <c r="L40" s="143"/>
      <c r="M40" s="142">
        <v>0</v>
      </c>
      <c r="N40" s="144">
        <v>-31.677852348993287</v>
      </c>
      <c r="O40" s="142">
        <v>0</v>
      </c>
      <c r="P40" s="144">
        <v>0</v>
      </c>
      <c r="Q40" s="143"/>
      <c r="R40" s="142">
        <v>0</v>
      </c>
      <c r="S40" s="144">
        <v>-34.899328859060404</v>
      </c>
      <c r="T40" s="142">
        <v>0</v>
      </c>
      <c r="U40" s="144">
        <v>0</v>
      </c>
      <c r="V40" s="143"/>
      <c r="W40" s="142">
        <v>0</v>
      </c>
      <c r="X40" s="144">
        <v>0</v>
      </c>
      <c r="Y40" s="167">
        <v>0</v>
      </c>
      <c r="Z40" s="144">
        <v>0</v>
      </c>
      <c r="AB40" s="142">
        <v>-11.140939597315436</v>
      </c>
      <c r="AC40" s="144">
        <v>0</v>
      </c>
      <c r="AD40" s="167">
        <v>0</v>
      </c>
      <c r="AE40" s="144">
        <v>0</v>
      </c>
      <c r="AG40" s="142">
        <v>-6.3087248322147653</v>
      </c>
      <c r="AH40" s="144">
        <v>0</v>
      </c>
      <c r="AI40" s="167">
        <v>0</v>
      </c>
      <c r="AJ40" s="144">
        <v>0</v>
      </c>
      <c r="AL40" s="142">
        <v>-6.4429530201342278</v>
      </c>
      <c r="AM40" s="144">
        <v>0</v>
      </c>
      <c r="AN40" s="167">
        <v>0</v>
      </c>
      <c r="AO40" s="144">
        <v>0</v>
      </c>
      <c r="AQ40" s="166">
        <v>-25.63758389261745</v>
      </c>
      <c r="AR40" s="144">
        <v>0</v>
      </c>
      <c r="AS40" s="167">
        <v>0</v>
      </c>
      <c r="AT40" s="144">
        <v>0</v>
      </c>
      <c r="AV40" s="166">
        <v>-11.275167785234899</v>
      </c>
      <c r="AW40" s="144">
        <v>0</v>
      </c>
      <c r="AX40" s="167">
        <v>0</v>
      </c>
      <c r="AY40" s="144">
        <v>0</v>
      </c>
      <c r="BA40" s="166">
        <v>-13.020134228187919</v>
      </c>
      <c r="BB40" s="144">
        <v>0</v>
      </c>
      <c r="BC40" s="167">
        <v>0</v>
      </c>
      <c r="BD40" s="144">
        <v>0</v>
      </c>
      <c r="BF40" s="166">
        <v>-13</v>
      </c>
      <c r="BG40" s="144">
        <v>0</v>
      </c>
      <c r="BH40" s="167"/>
      <c r="BI40" s="144"/>
    </row>
    <row r="41" spans="1:61 16384:16384" s="168" customFormat="1" ht="13.5" thickBot="1">
      <c r="A41" s="168" t="s">
        <v>181</v>
      </c>
      <c r="B41" s="169"/>
      <c r="C41" s="168">
        <f>SUM(C35:C40)</f>
        <v>375.83892617449663</v>
      </c>
      <c r="D41" s="170">
        <f>SUM(D35:D40)</f>
        <v>370.73825503355704</v>
      </c>
      <c r="E41" s="168">
        <f>SUM(E35:E40)</f>
        <v>353.82550335570471</v>
      </c>
      <c r="F41" s="170">
        <f>SUM(F35:F40)</f>
        <v>367.11409395973152</v>
      </c>
      <c r="G41" s="169"/>
      <c r="H41" s="168">
        <f>SUM(H35:H40)</f>
        <v>372.48322147651004</v>
      </c>
      <c r="I41" s="170">
        <f>SUM(I35:I40)</f>
        <v>348.5906040268456</v>
      </c>
      <c r="J41" s="168">
        <f>SUM(J35:J40)</f>
        <v>359.32885906040264</v>
      </c>
      <c r="K41" s="170">
        <f>SUM(K35:K40)</f>
        <v>376.6442953020134</v>
      </c>
      <c r="L41" s="169"/>
      <c r="M41" s="168">
        <f>SUM(M35:M40)</f>
        <v>390.20134228187914</v>
      </c>
      <c r="N41" s="170">
        <f>SUM(N35:N40)</f>
        <v>385.50335570469792</v>
      </c>
      <c r="O41" s="168">
        <f>SUM(O35:O40)</f>
        <v>401.2080536912751</v>
      </c>
      <c r="P41" s="170">
        <f>SUM(P35:P40)</f>
        <v>440.67114093959725</v>
      </c>
      <c r="Q41" s="169"/>
      <c r="R41" s="168">
        <f>SUM(R35:R40)</f>
        <v>453.15436241610735</v>
      </c>
      <c r="S41" s="170">
        <f>SUM(S35:S40)</f>
        <v>455.97315436241604</v>
      </c>
      <c r="T41" s="168">
        <f>SUM(T35:T40)</f>
        <v>489.12751677852344</v>
      </c>
      <c r="U41" s="170">
        <f>SUM(U35:U40)</f>
        <v>465.06040268456371</v>
      </c>
      <c r="V41" s="169"/>
      <c r="W41" s="168">
        <f>SUM(W35:W40)</f>
        <v>467.47651006711402</v>
      </c>
      <c r="X41" s="170">
        <f>SUM(X35:X40)</f>
        <v>475.39597315436237</v>
      </c>
      <c r="Y41" s="168">
        <f>SUM(Y35:Y40)</f>
        <v>480.3624161073825</v>
      </c>
      <c r="Z41" s="170">
        <f>SUM(Z35:Z40)</f>
        <v>501.97315436241604</v>
      </c>
      <c r="AB41" s="168">
        <f>SUM(AB35:AB40)</f>
        <v>514.32214765100662</v>
      </c>
      <c r="AC41" s="170">
        <f>SUM(AC35:AC40)</f>
        <v>543.98657718120796</v>
      </c>
      <c r="AD41" s="168">
        <f>SUM(AD35:AD40)</f>
        <v>536.73825503355692</v>
      </c>
      <c r="AE41" s="170">
        <f>SUM(AE35:AE40)</f>
        <v>551.9060402684562</v>
      </c>
      <c r="AG41" s="168">
        <f>SUM(AG35:AG40)</f>
        <v>536.0671140939595</v>
      </c>
      <c r="AH41" s="170">
        <f>SUM(AH35:AH40)</f>
        <v>535.3959731543622</v>
      </c>
      <c r="AI41" s="168">
        <f>SUM(AI35:AI40)</f>
        <v>537.67785234899316</v>
      </c>
      <c r="AJ41" s="170">
        <f>SUM(AJ35:AJ40)</f>
        <v>545.73154362416096</v>
      </c>
      <c r="AL41" s="168">
        <f>SUM(AL35:AL40)</f>
        <v>553.24832214765081</v>
      </c>
      <c r="AM41" s="168">
        <f>SUM(AM35:AM40)</f>
        <v>745.99999999999977</v>
      </c>
      <c r="AN41" s="171">
        <f>SUM(AN35:AN40)</f>
        <v>759.28859060402669</v>
      </c>
      <c r="AO41" s="170">
        <f>SUM(AO35:AO40)</f>
        <v>770.02684563758373</v>
      </c>
      <c r="AQ41" s="171">
        <f>SUM(AQ35:AQ40)</f>
        <v>748.81879194630847</v>
      </c>
      <c r="AR41" s="170">
        <f>SUM(AR35:AR40)</f>
        <v>752.97986577181177</v>
      </c>
      <c r="AS41" s="171">
        <f>SUM(AS35:AS40)</f>
        <v>754.05369127516747</v>
      </c>
      <c r="AT41" s="170">
        <f>SUM(AT35:AT40)</f>
        <v>761.57046979865731</v>
      </c>
      <c r="AV41" s="171">
        <f>SUM(AV35:AV40)</f>
        <v>752.44295302013381</v>
      </c>
      <c r="AW41" s="170">
        <f>SUM(AW35:AW40)</f>
        <v>763.85234899328816</v>
      </c>
      <c r="AX41" s="171">
        <f>SUM(AX35:AX40)</f>
        <v>794.45637583892574</v>
      </c>
      <c r="AY41" s="170">
        <f>SUM(AY35:AY40)</f>
        <v>801.9731543624157</v>
      </c>
      <c r="BA41" s="171">
        <f>SUM(BA35:BA40)</f>
        <v>847.87919463087201</v>
      </c>
      <c r="BB41" s="170">
        <f>SUM(BB35:BB40)</f>
        <v>803.44966442952966</v>
      </c>
      <c r="BC41" s="171">
        <f>SUM(BC35:BC40)</f>
        <v>799.69127516778474</v>
      </c>
      <c r="BD41" s="170">
        <f>SUM(BD35:BD40)</f>
        <v>809.45127516778484</v>
      </c>
      <c r="BF41" s="171">
        <f>SUM(BF35:BF40)</f>
        <v>802.95227516778493</v>
      </c>
      <c r="BG41" s="170">
        <f>SUM(BG35:BG40)</f>
        <v>801.65227516778498</v>
      </c>
      <c r="BH41" s="171"/>
      <c r="BI41" s="170"/>
      <c r="XFD41" s="171"/>
    </row>
    <row r="42" spans="1:61 16384:16384">
      <c r="AQ42" s="16"/>
      <c r="AR42" s="16"/>
      <c r="AV42" s="172"/>
      <c r="AW42" s="16"/>
      <c r="BA42" s="172"/>
      <c r="BB42" s="16"/>
      <c r="BF42" s="172"/>
      <c r="BG42" s="16"/>
    </row>
  </sheetData>
  <mergeCells count="24">
    <mergeCell ref="BF1:BI1"/>
    <mergeCell ref="BF2:BI2"/>
    <mergeCell ref="C2:F2"/>
    <mergeCell ref="AV1:AY1"/>
    <mergeCell ref="AV2:AY2"/>
    <mergeCell ref="AL1:AO1"/>
    <mergeCell ref="AB1:AE1"/>
    <mergeCell ref="AB2:AE2"/>
    <mergeCell ref="AG1:AJ1"/>
    <mergeCell ref="AG2:AJ2"/>
    <mergeCell ref="H2:K2"/>
    <mergeCell ref="AQ1:AT1"/>
    <mergeCell ref="AQ2:AT2"/>
    <mergeCell ref="W1:Z1"/>
    <mergeCell ref="R2:U2"/>
    <mergeCell ref="H1:K1"/>
    <mergeCell ref="C1:F1"/>
    <mergeCell ref="BA1:BD1"/>
    <mergeCell ref="BA2:BD2"/>
    <mergeCell ref="M1:P1"/>
    <mergeCell ref="R1:U1"/>
    <mergeCell ref="M2:P2"/>
    <mergeCell ref="W2:Z2"/>
    <mergeCell ref="AL2:AO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showGridLines="0" zoomScaleNormal="100" zoomScaleSheetLayoutView="75" workbookViewId="0">
      <pane xSplit="1" ySplit="4" topLeftCell="BA5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BG55" sqref="BG55"/>
    </sheetView>
  </sheetViews>
  <sheetFormatPr defaultColWidth="9.140625" defaultRowHeight="12.75"/>
  <cols>
    <col min="1" max="1" width="37.140625" style="15" customWidth="1"/>
    <col min="2" max="2" width="4.7109375" style="15" customWidth="1"/>
    <col min="3" max="6" width="8.7109375" style="15" customWidth="1"/>
    <col min="7" max="7" width="8.7109375" style="140" customWidth="1"/>
    <col min="8" max="8" width="4.7109375" style="15" customWidth="1"/>
    <col min="9" max="12" width="8.7109375" style="15" customWidth="1"/>
    <col min="13" max="13" width="8.7109375" style="140" customWidth="1"/>
    <col min="14" max="14" width="4.7109375" style="15" customWidth="1"/>
    <col min="15" max="18" width="8.7109375" style="15" customWidth="1"/>
    <col min="19" max="19" width="8.7109375" style="140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140" customWidth="1"/>
    <col min="26" max="26" width="4.7109375" style="15" customWidth="1"/>
    <col min="27" max="30" width="8.7109375" style="15" customWidth="1"/>
    <col min="31" max="31" width="8.7109375" style="140" customWidth="1"/>
    <col min="32" max="32" width="4.7109375" style="15" customWidth="1"/>
    <col min="33" max="36" width="8.7109375" style="15" customWidth="1"/>
    <col min="37" max="37" width="8.7109375" style="140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16384" width="9.140625" style="15"/>
  </cols>
  <sheetData>
    <row r="1" spans="1:73">
      <c r="C1" s="231" t="s">
        <v>80</v>
      </c>
      <c r="D1" s="231"/>
      <c r="E1" s="231"/>
      <c r="F1" s="231"/>
      <c r="G1" s="231"/>
      <c r="I1" s="231" t="s">
        <v>80</v>
      </c>
      <c r="J1" s="231"/>
      <c r="K1" s="231"/>
      <c r="L1" s="231"/>
      <c r="M1" s="231"/>
      <c r="O1" s="231" t="s">
        <v>80</v>
      </c>
      <c r="P1" s="231"/>
      <c r="Q1" s="231"/>
      <c r="R1" s="231"/>
      <c r="S1" s="231"/>
      <c r="U1" s="231" t="s">
        <v>80</v>
      </c>
      <c r="V1" s="231"/>
      <c r="W1" s="231"/>
      <c r="X1" s="231"/>
      <c r="Y1" s="231"/>
      <c r="AA1" s="231" t="s">
        <v>80</v>
      </c>
      <c r="AB1" s="231"/>
      <c r="AC1" s="231"/>
      <c r="AD1" s="231"/>
      <c r="AE1" s="231"/>
      <c r="AG1" s="231" t="s">
        <v>80</v>
      </c>
      <c r="AH1" s="231"/>
      <c r="AI1" s="231"/>
      <c r="AJ1" s="231"/>
      <c r="AK1" s="231"/>
      <c r="AM1" s="231" t="s">
        <v>80</v>
      </c>
      <c r="AN1" s="231"/>
      <c r="AO1" s="231"/>
      <c r="AP1" s="231"/>
      <c r="AQ1" s="231"/>
      <c r="AS1" s="231" t="s">
        <v>80</v>
      </c>
      <c r="AT1" s="231"/>
      <c r="AU1" s="231"/>
      <c r="AV1" s="231"/>
      <c r="AW1" s="231"/>
      <c r="AY1" s="231" t="s">
        <v>80</v>
      </c>
      <c r="AZ1" s="231"/>
      <c r="BA1" s="231"/>
      <c r="BB1" s="231"/>
      <c r="BC1" s="231"/>
      <c r="BE1" s="231" t="s">
        <v>80</v>
      </c>
      <c r="BF1" s="231"/>
      <c r="BG1" s="231"/>
      <c r="BH1" s="231"/>
      <c r="BI1" s="231"/>
      <c r="BK1" s="231" t="s">
        <v>80</v>
      </c>
      <c r="BL1" s="231"/>
      <c r="BM1" s="231"/>
      <c r="BN1" s="231"/>
      <c r="BO1" s="231"/>
      <c r="BQ1" s="231" t="s">
        <v>80</v>
      </c>
      <c r="BR1" s="231"/>
      <c r="BS1" s="231"/>
      <c r="BT1" s="231"/>
      <c r="BU1" s="231"/>
    </row>
    <row r="2" spans="1:73">
      <c r="AQ2" s="140"/>
      <c r="AW2" s="140"/>
      <c r="BC2" s="140"/>
      <c r="BI2" s="140"/>
      <c r="BO2" s="140"/>
      <c r="BU2" s="140"/>
    </row>
    <row r="3" spans="1:73" s="153" customFormat="1">
      <c r="A3" s="173" t="s">
        <v>34</v>
      </c>
      <c r="C3" s="234" t="s">
        <v>186</v>
      </c>
      <c r="D3" s="235"/>
      <c r="E3" s="235"/>
      <c r="F3" s="235"/>
      <c r="G3" s="235"/>
      <c r="I3" s="234" t="s">
        <v>187</v>
      </c>
      <c r="J3" s="235"/>
      <c r="K3" s="235"/>
      <c r="L3" s="235"/>
      <c r="M3" s="235"/>
      <c r="O3" s="234" t="s">
        <v>188</v>
      </c>
      <c r="P3" s="235"/>
      <c r="Q3" s="235"/>
      <c r="R3" s="235"/>
      <c r="S3" s="235"/>
      <c r="U3" s="234" t="s">
        <v>189</v>
      </c>
      <c r="V3" s="235"/>
      <c r="W3" s="235"/>
      <c r="X3" s="235"/>
      <c r="Y3" s="235"/>
      <c r="AA3" s="234" t="s">
        <v>190</v>
      </c>
      <c r="AB3" s="235"/>
      <c r="AC3" s="235"/>
      <c r="AD3" s="235"/>
      <c r="AE3" s="235"/>
      <c r="AG3" s="234" t="s">
        <v>191</v>
      </c>
      <c r="AH3" s="235"/>
      <c r="AI3" s="235"/>
      <c r="AJ3" s="235"/>
      <c r="AK3" s="235"/>
      <c r="AM3" s="234" t="s">
        <v>196</v>
      </c>
      <c r="AN3" s="235"/>
      <c r="AO3" s="235"/>
      <c r="AP3" s="235"/>
      <c r="AQ3" s="235"/>
      <c r="AS3" s="234" t="s">
        <v>195</v>
      </c>
      <c r="AT3" s="235"/>
      <c r="AU3" s="235"/>
      <c r="AV3" s="235"/>
      <c r="AW3" s="235"/>
      <c r="AY3" s="234" t="s">
        <v>194</v>
      </c>
      <c r="AZ3" s="235"/>
      <c r="BA3" s="235"/>
      <c r="BB3" s="235"/>
      <c r="BC3" s="235"/>
      <c r="BE3" s="234" t="s">
        <v>193</v>
      </c>
      <c r="BF3" s="235"/>
      <c r="BG3" s="235"/>
      <c r="BH3" s="235"/>
      <c r="BI3" s="235"/>
      <c r="BK3" s="234" t="s">
        <v>192</v>
      </c>
      <c r="BL3" s="235"/>
      <c r="BM3" s="235"/>
      <c r="BN3" s="235"/>
      <c r="BO3" s="235"/>
      <c r="BQ3" s="234" t="s">
        <v>214</v>
      </c>
      <c r="BR3" s="235"/>
      <c r="BS3" s="235"/>
      <c r="BT3" s="235"/>
      <c r="BU3" s="235"/>
    </row>
    <row r="4" spans="1:73" s="175" customFormat="1" ht="13.5" thickBot="1">
      <c r="A4" s="174" t="s">
        <v>182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  <c r="BQ4" s="176" t="s">
        <v>10</v>
      </c>
      <c r="BR4" s="176" t="s">
        <v>11</v>
      </c>
      <c r="BS4" s="176" t="s">
        <v>12</v>
      </c>
      <c r="BT4" s="176" t="s">
        <v>13</v>
      </c>
      <c r="BU4" s="176" t="s">
        <v>14</v>
      </c>
    </row>
    <row r="5" spans="1:73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  <c r="BU5" s="178"/>
    </row>
    <row r="6" spans="1:73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U6" s="49">
        <f>SUM(BQ6:BT6)</f>
        <v>86.700999999999993</v>
      </c>
    </row>
    <row r="7" spans="1:73">
      <c r="A7" s="15" t="s">
        <v>94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U7" s="49">
        <f>SUM(BQ7:BT7)</f>
        <v>-4.0999999999999996</v>
      </c>
    </row>
    <row r="8" spans="1:73">
      <c r="A8" s="15" t="s">
        <v>95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  <c r="BR8" s="16"/>
      <c r="BS8" s="16"/>
      <c r="BT8" s="16"/>
      <c r="BU8" s="49"/>
    </row>
    <row r="9" spans="1:73" ht="12.75" customHeight="1">
      <c r="A9" s="15" t="s">
        <v>96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  <c r="BR9" s="16"/>
      <c r="BS9" s="16"/>
      <c r="BT9" s="16"/>
      <c r="BU9" s="49"/>
    </row>
    <row r="10" spans="1:73" s="140" customFormat="1" ht="12.75" customHeight="1">
      <c r="A10" s="15" t="s">
        <v>198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  <c r="BQ10" s="179">
        <f>-38.3-5.5</f>
        <v>-43.8</v>
      </c>
      <c r="BR10" s="179">
        <v>-19.2</v>
      </c>
      <c r="BS10" s="179"/>
      <c r="BT10" s="179"/>
      <c r="BU10" s="49">
        <f>SUM(BQ10:BT10)</f>
        <v>-63</v>
      </c>
    </row>
    <row r="11" spans="1:73" s="183" customFormat="1" ht="15.75" customHeight="1">
      <c r="A11" s="180" t="s">
        <v>82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  <c r="BQ11" s="180">
        <f>SUM(BQ6:BQ10)</f>
        <v>-9.0990000000000038</v>
      </c>
      <c r="BR11" s="180">
        <f>SUM(BR6:BR10)</f>
        <v>28.7</v>
      </c>
      <c r="BS11" s="180"/>
      <c r="BT11" s="180"/>
      <c r="BU11" s="181">
        <f>SUM(BU6:BU10)</f>
        <v>19.600999999999999</v>
      </c>
    </row>
    <row r="12" spans="1:73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  <c r="BR12" s="186"/>
      <c r="BS12" s="186"/>
      <c r="BT12" s="186"/>
      <c r="BU12" s="185"/>
    </row>
    <row r="13" spans="1:73">
      <c r="A13" s="15" t="s">
        <v>163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  <c r="BQ13" s="15">
        <v>-53.1</v>
      </c>
      <c r="BR13" s="16">
        <v>0</v>
      </c>
      <c r="BS13" s="16"/>
      <c r="BT13" s="16"/>
      <c r="BU13" s="49">
        <f>SUM(BQ13:BT13)</f>
        <v>-53.1</v>
      </c>
    </row>
    <row r="14" spans="1:73">
      <c r="A14" s="15" t="s">
        <v>97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54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54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54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  <c r="BQ14" s="15">
        <v>-10.3</v>
      </c>
      <c r="BR14" s="16">
        <v>-6.6</v>
      </c>
      <c r="BS14" s="16"/>
      <c r="BT14" s="16"/>
      <c r="BU14" s="49">
        <f>SUM(BQ14:BT14)</f>
        <v>-16.899999999999999</v>
      </c>
    </row>
    <row r="15" spans="1:73" ht="15" customHeight="1">
      <c r="A15" s="15" t="s">
        <v>162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  <c r="BR15" s="16"/>
      <c r="BS15" s="16"/>
      <c r="BT15" s="16"/>
      <c r="BU15" s="49">
        <f>SUM(BQ15:BT15)</f>
        <v>0</v>
      </c>
    </row>
    <row r="16" spans="1:73">
      <c r="A16" s="15" t="s">
        <v>67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  <c r="BR16" s="16"/>
      <c r="BS16" s="16"/>
      <c r="BT16" s="16"/>
      <c r="BU16" s="49">
        <f>SUM(BQ16:BT16)</f>
        <v>0</v>
      </c>
    </row>
    <row r="17" spans="1:73" s="140" customFormat="1" ht="12.75" customHeight="1">
      <c r="A17" s="15" t="s">
        <v>155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  <c r="BQ17" s="153">
        <v>-7</v>
      </c>
      <c r="BR17" s="179">
        <v>-10.9</v>
      </c>
      <c r="BS17" s="179"/>
      <c r="BT17" s="179"/>
      <c r="BU17" s="49">
        <f>SUM(BQ17:BT17)</f>
        <v>-17.899999999999999</v>
      </c>
    </row>
    <row r="18" spans="1:73" s="183" customFormat="1">
      <c r="A18" s="180" t="s">
        <v>199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  <c r="BQ18" s="180">
        <f>SUM(BQ13:BQ17)</f>
        <v>-70.400000000000006</v>
      </c>
      <c r="BR18" s="180">
        <f>SUM(BR13:BR17)</f>
        <v>-17.5</v>
      </c>
      <c r="BS18" s="180"/>
      <c r="BT18" s="180"/>
      <c r="BU18" s="181">
        <f>SUM(BU13:BU17)</f>
        <v>-87.9</v>
      </c>
    </row>
    <row r="19" spans="1:73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  <c r="BQ19" s="184"/>
      <c r="BR19" s="186"/>
      <c r="BS19" s="186"/>
      <c r="BT19" s="186"/>
      <c r="BU19" s="185"/>
    </row>
    <row r="20" spans="1:73">
      <c r="A20" s="140" t="s">
        <v>200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  <c r="BQ20" s="140">
        <f>BQ11+BQ18</f>
        <v>-79.499000000000009</v>
      </c>
      <c r="BR20" s="140">
        <f>BR11+BR18</f>
        <v>11.2</v>
      </c>
      <c r="BS20" s="140"/>
      <c r="BT20" s="140"/>
      <c r="BU20" s="49">
        <f>BU11+BU18</f>
        <v>-68.299000000000007</v>
      </c>
    </row>
    <row r="21" spans="1:73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  <c r="BR21" s="16"/>
      <c r="BS21" s="16"/>
      <c r="BT21" s="16"/>
      <c r="BU21" s="49"/>
    </row>
    <row r="22" spans="1:73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  <c r="BR22" s="16">
        <v>-13</v>
      </c>
      <c r="BS22" s="16"/>
      <c r="BT22" s="16"/>
      <c r="BU22" s="49">
        <f>SUM(BQ22:BT22)</f>
        <v>-13</v>
      </c>
    </row>
    <row r="23" spans="1:73" ht="12.75" customHeight="1">
      <c r="A23" s="15" t="s">
        <v>114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  <c r="BR23" s="16">
        <v>-3</v>
      </c>
      <c r="BS23" s="16"/>
      <c r="BT23" s="16"/>
      <c r="BU23" s="49">
        <f>SUM(BQ23:BT23)</f>
        <v>-3</v>
      </c>
    </row>
    <row r="24" spans="1:73" s="140" customFormat="1" ht="12.75" customHeight="1">
      <c r="A24" s="15" t="s">
        <v>218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  <c r="BQ24" s="153">
        <f>-4.7+6.3</f>
        <v>1.5999999999999996</v>
      </c>
      <c r="BR24" s="179">
        <v>-20.100000000000001</v>
      </c>
      <c r="BS24" s="153"/>
      <c r="BT24" s="179"/>
      <c r="BU24" s="189">
        <f>SUM(BQ24:BT24)</f>
        <v>-18.5</v>
      </c>
    </row>
    <row r="25" spans="1:73" s="183" customFormat="1">
      <c r="A25" s="180" t="s">
        <v>28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  <c r="BQ25" s="180">
        <f>SUM(BQ20:BQ24)</f>
        <v>-77.899000000000015</v>
      </c>
      <c r="BR25" s="180">
        <f>SUM(BR20:BR24)</f>
        <v>-24.900000000000002</v>
      </c>
      <c r="BS25" s="180"/>
      <c r="BT25" s="180"/>
      <c r="BU25" s="181">
        <f>SUM(BU20:BU24)</f>
        <v>-102.79900000000001</v>
      </c>
    </row>
    <row r="26" spans="1:73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  <c r="BR26" s="186"/>
      <c r="BS26" s="186"/>
      <c r="BT26" s="186"/>
      <c r="BU26" s="185"/>
    </row>
    <row r="27" spans="1:73">
      <c r="A27" s="15" t="s">
        <v>130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  <c r="BR27" s="16"/>
      <c r="BS27" s="16"/>
      <c r="BT27" s="16"/>
      <c r="BU27" s="49">
        <f>SUM(BQ27:BT27)</f>
        <v>0</v>
      </c>
    </row>
    <row r="28" spans="1:73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  <c r="BR28" s="16"/>
      <c r="BS28" s="16"/>
      <c r="BT28" s="16"/>
      <c r="BU28" s="49"/>
    </row>
    <row r="29" spans="1:73">
      <c r="A29" s="15" t="s">
        <v>202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  <c r="BQ29" s="15">
        <f>+BN31</f>
        <v>-88.876510067113898</v>
      </c>
      <c r="BR29" s="16">
        <f>+BQ31</f>
        <v>-158.87551006711391</v>
      </c>
      <c r="BS29" s="16"/>
      <c r="BT29" s="16"/>
      <c r="BU29" s="49">
        <f>BQ29</f>
        <v>-88.876510067113898</v>
      </c>
    </row>
    <row r="30" spans="1:73" s="140" customFormat="1" ht="18.75" customHeight="1">
      <c r="A30" s="15" t="s">
        <v>201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  <c r="BQ30" s="15">
        <v>7.9</v>
      </c>
      <c r="BR30" s="16">
        <v>-4.4000000000000004</v>
      </c>
      <c r="BS30" s="16"/>
      <c r="BT30" s="16"/>
      <c r="BU30" s="49">
        <f>SUM(BQ30:BT30)</f>
        <v>3.5</v>
      </c>
    </row>
    <row r="31" spans="1:73" s="192" customFormat="1" ht="13.5" thickBot="1">
      <c r="A31" s="190" t="s">
        <v>203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  <c r="BQ31" s="190">
        <f>SUM(BQ25:BQ30)</f>
        <v>-158.87551006711391</v>
      </c>
      <c r="BR31" s="190">
        <f>SUM(BR25:BR30)</f>
        <v>-188.17551006711392</v>
      </c>
      <c r="BS31" s="190"/>
      <c r="BT31" s="190"/>
      <c r="BU31" s="191">
        <f>SUM(BU25:BU30)</f>
        <v>-188.17551006711392</v>
      </c>
    </row>
    <row r="32" spans="1:73" s="194" customFormat="1">
      <c r="G32" s="195"/>
      <c r="M32" s="195"/>
      <c r="S32" s="195"/>
      <c r="Y32" s="195"/>
      <c r="AE32" s="195"/>
      <c r="AH32" s="196"/>
      <c r="AK32" s="195"/>
    </row>
  </sheetData>
  <mergeCells count="24">
    <mergeCell ref="BQ1:BU1"/>
    <mergeCell ref="BQ3:BU3"/>
    <mergeCell ref="AY3:BC3"/>
    <mergeCell ref="I1:M1"/>
    <mergeCell ref="O1:S1"/>
    <mergeCell ref="O3:S3"/>
    <mergeCell ref="U1:Y1"/>
    <mergeCell ref="U3:Y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1" ySplit="5" topLeftCell="BD19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BL87" sqref="BL87:BL88"/>
    </sheetView>
  </sheetViews>
  <sheetFormatPr defaultColWidth="9.140625" defaultRowHeight="12.75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221">
      <c r="C1" s="230" t="s">
        <v>80</v>
      </c>
      <c r="D1" s="230"/>
      <c r="E1" s="230"/>
      <c r="F1" s="230"/>
      <c r="G1" s="230"/>
      <c r="I1" s="230" t="s">
        <v>80</v>
      </c>
      <c r="J1" s="230"/>
      <c r="K1" s="230"/>
      <c r="L1" s="230"/>
      <c r="M1" s="230"/>
      <c r="O1" s="230" t="s">
        <v>80</v>
      </c>
      <c r="P1" s="230"/>
      <c r="Q1" s="230"/>
      <c r="R1" s="230"/>
      <c r="S1" s="230"/>
      <c r="U1" s="230" t="s">
        <v>80</v>
      </c>
      <c r="V1" s="230"/>
      <c r="W1" s="230"/>
      <c r="X1" s="230"/>
      <c r="Y1" s="230"/>
      <c r="AA1" s="230" t="s">
        <v>80</v>
      </c>
      <c r="AB1" s="230"/>
      <c r="AC1" s="230"/>
      <c r="AD1" s="230"/>
      <c r="AE1" s="230"/>
      <c r="AG1" s="230" t="s">
        <v>80</v>
      </c>
      <c r="AH1" s="230"/>
      <c r="AI1" s="230"/>
      <c r="AJ1" s="230"/>
      <c r="AK1" s="230"/>
      <c r="AM1" s="230" t="s">
        <v>80</v>
      </c>
      <c r="AN1" s="230"/>
      <c r="AO1" s="230"/>
      <c r="AP1" s="230"/>
      <c r="AQ1" s="230"/>
      <c r="AS1" s="230" t="s">
        <v>80</v>
      </c>
      <c r="AT1" s="230"/>
      <c r="AU1" s="230"/>
      <c r="AV1" s="230"/>
      <c r="AW1" s="230"/>
      <c r="AY1" s="230" t="s">
        <v>80</v>
      </c>
      <c r="AZ1" s="230"/>
      <c r="BA1" s="230"/>
      <c r="BB1" s="230"/>
      <c r="BC1" s="230"/>
      <c r="BE1" s="230" t="s">
        <v>80</v>
      </c>
      <c r="BF1" s="230"/>
      <c r="BG1" s="230"/>
      <c r="BH1" s="230"/>
      <c r="BI1" s="230"/>
      <c r="BK1" s="230" t="s">
        <v>80</v>
      </c>
      <c r="BL1" s="230"/>
      <c r="BM1" s="230"/>
      <c r="BN1" s="230"/>
      <c r="BO1" s="230"/>
      <c r="BQ1" s="230" t="s">
        <v>80</v>
      </c>
      <c r="BR1" s="230"/>
      <c r="BS1" s="230"/>
      <c r="BT1" s="230"/>
      <c r="BU1" s="230"/>
    </row>
    <row r="2" spans="1:221">
      <c r="A2" s="1" t="s">
        <v>34</v>
      </c>
      <c r="C2" s="229">
        <v>2005</v>
      </c>
      <c r="D2" s="229"/>
      <c r="E2" s="229"/>
      <c r="F2" s="229"/>
      <c r="G2" s="229"/>
      <c r="I2" s="229">
        <v>2006</v>
      </c>
      <c r="J2" s="229"/>
      <c r="K2" s="229"/>
      <c r="L2" s="229"/>
      <c r="M2" s="229"/>
      <c r="O2" s="229">
        <v>2007</v>
      </c>
      <c r="P2" s="229"/>
      <c r="Q2" s="229"/>
      <c r="R2" s="229"/>
      <c r="S2" s="229"/>
      <c r="U2" s="229">
        <v>2008</v>
      </c>
      <c r="V2" s="229"/>
      <c r="W2" s="229"/>
      <c r="X2" s="229"/>
      <c r="Y2" s="229"/>
      <c r="AA2" s="229">
        <v>2009</v>
      </c>
      <c r="AB2" s="229"/>
      <c r="AC2" s="229"/>
      <c r="AD2" s="229"/>
      <c r="AE2" s="229"/>
      <c r="AG2" s="229">
        <v>2010</v>
      </c>
      <c r="AH2" s="229"/>
      <c r="AI2" s="229"/>
      <c r="AJ2" s="229"/>
      <c r="AK2" s="229"/>
      <c r="AM2" s="229">
        <v>2011</v>
      </c>
      <c r="AN2" s="229"/>
      <c r="AO2" s="229"/>
      <c r="AP2" s="229"/>
      <c r="AQ2" s="229"/>
      <c r="AS2" s="229">
        <v>2012</v>
      </c>
      <c r="AT2" s="229"/>
      <c r="AU2" s="229"/>
      <c r="AV2" s="229"/>
      <c r="AW2" s="229"/>
      <c r="AY2" s="229">
        <v>2013</v>
      </c>
      <c r="AZ2" s="229"/>
      <c r="BA2" s="229"/>
      <c r="BB2" s="229"/>
      <c r="BC2" s="229"/>
      <c r="BE2" s="229">
        <v>2014</v>
      </c>
      <c r="BF2" s="229"/>
      <c r="BG2" s="229"/>
      <c r="BH2" s="229"/>
      <c r="BI2" s="229"/>
      <c r="BK2" s="229">
        <v>2015</v>
      </c>
      <c r="BL2" s="229"/>
      <c r="BM2" s="229"/>
      <c r="BN2" s="229"/>
      <c r="BO2" s="229"/>
      <c r="BQ2" s="229">
        <v>2016</v>
      </c>
      <c r="BR2" s="229"/>
      <c r="BS2" s="229"/>
      <c r="BT2" s="229"/>
      <c r="BU2" s="229"/>
    </row>
    <row r="3" spans="1:221" s="75" customFormat="1" ht="13.5" thickBot="1">
      <c r="A3" s="73" t="s">
        <v>183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  <c r="BQ3" s="74" t="s">
        <v>10</v>
      </c>
      <c r="BR3" s="74" t="s">
        <v>11</v>
      </c>
      <c r="BS3" s="74" t="s">
        <v>12</v>
      </c>
      <c r="BT3" s="74" t="s">
        <v>13</v>
      </c>
      <c r="BU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  <c r="BU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  <c r="BU5" s="46"/>
    </row>
    <row r="6" spans="1:221">
      <c r="A6" s="2" t="s">
        <v>98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>
        <v>223</v>
      </c>
      <c r="BR6" s="31">
        <v>267.8</v>
      </c>
      <c r="BS6" s="31"/>
      <c r="BT6" s="197"/>
      <c r="BU6" s="116">
        <f>SUM(BQ6:BT6)</f>
        <v>490.8</v>
      </c>
      <c r="BV6" s="31"/>
      <c r="BW6" s="31"/>
      <c r="BX6" s="31"/>
      <c r="BY6" s="31"/>
      <c r="BZ6" s="31"/>
      <c r="CA6" s="31"/>
      <c r="CB6" s="31"/>
    </row>
    <row r="7" spans="1:221">
      <c r="A7" s="2" t="s">
        <v>150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>
        <v>255.4</v>
      </c>
      <c r="BR7" s="31">
        <v>276.5</v>
      </c>
      <c r="BS7" s="31"/>
      <c r="BT7" s="197"/>
      <c r="BU7" s="116">
        <f t="shared" ref="BU7:BU12" si="11">SUM(BQ7:BT7)</f>
        <v>531.9</v>
      </c>
      <c r="BV7" s="31"/>
      <c r="BW7" s="31"/>
      <c r="BX7" s="31"/>
      <c r="BY7" s="31"/>
      <c r="BZ7" s="31"/>
      <c r="CA7" s="31"/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>
        <v>0</v>
      </c>
      <c r="BR8" s="31"/>
      <c r="BS8" s="31"/>
      <c r="BT8" s="197"/>
      <c r="BU8" s="116">
        <f t="shared" si="11"/>
        <v>0</v>
      </c>
      <c r="BV8" s="31"/>
      <c r="BW8" s="31"/>
      <c r="BX8" s="31"/>
      <c r="BY8" s="31"/>
      <c r="BZ8" s="31"/>
      <c r="CA8" s="31"/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>
        <v>0</v>
      </c>
      <c r="BR9" s="31"/>
      <c r="BS9" s="31"/>
      <c r="BT9" s="197"/>
      <c r="BU9" s="116">
        <f t="shared" si="11"/>
        <v>0</v>
      </c>
      <c r="BV9" s="31"/>
      <c r="BW9" s="31"/>
      <c r="BX9" s="31"/>
      <c r="BY9" s="31"/>
      <c r="BZ9" s="31"/>
      <c r="CA9" s="31"/>
      <c r="CB9" s="31"/>
    </row>
    <row r="10" spans="1:221">
      <c r="A10" s="2" t="s">
        <v>99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>
        <v>7.2</v>
      </c>
      <c r="BR10" s="31">
        <v>8.9</v>
      </c>
      <c r="BS10" s="31"/>
      <c r="BT10" s="197"/>
      <c r="BU10" s="116">
        <f t="shared" si="11"/>
        <v>16.100000000000001</v>
      </c>
      <c r="BV10" s="31"/>
      <c r="BW10" s="31"/>
      <c r="BX10" s="31"/>
      <c r="BY10" s="31"/>
      <c r="BZ10" s="31"/>
      <c r="CA10" s="31"/>
      <c r="CB10" s="31"/>
    </row>
    <row r="11" spans="1:221" hidden="1">
      <c r="A11" s="2" t="s">
        <v>35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>
        <v>0</v>
      </c>
      <c r="BR11" s="31"/>
      <c r="BS11" s="31"/>
      <c r="BT11" s="197"/>
      <c r="BU11" s="116">
        <f t="shared" si="11"/>
        <v>0</v>
      </c>
      <c r="BV11" s="31"/>
      <c r="BW11" s="31"/>
      <c r="BX11" s="31"/>
      <c r="BY11" s="31"/>
      <c r="BZ11" s="31"/>
      <c r="CA11" s="31"/>
      <c r="CB11" s="31"/>
    </row>
    <row r="12" spans="1:221">
      <c r="A12" s="2" t="s">
        <v>72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>
        <v>0</v>
      </c>
      <c r="BR12" s="31">
        <v>0</v>
      </c>
      <c r="BS12" s="31"/>
      <c r="BT12" s="197"/>
      <c r="BU12" s="116">
        <f t="shared" si="11"/>
        <v>0</v>
      </c>
      <c r="BV12" s="31"/>
      <c r="BW12" s="31"/>
      <c r="BX12" s="31"/>
      <c r="BY12" s="31"/>
      <c r="BZ12" s="31"/>
      <c r="CA12" s="31"/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>
        <f>SUM(BQ5:BQ12)</f>
        <v>485.59999999999997</v>
      </c>
      <c r="BR13" s="198">
        <f>SUM(BR5:BR12)</f>
        <v>553.19999999999993</v>
      </c>
      <c r="BS13" s="198"/>
      <c r="BT13" s="198"/>
      <c r="BU13" s="199">
        <f>SUM(BU5:BU12)</f>
        <v>1038.8</v>
      </c>
      <c r="BV13" s="198"/>
      <c r="BW13" s="198"/>
      <c r="BX13" s="198"/>
      <c r="BY13" s="198"/>
      <c r="BZ13" s="198"/>
      <c r="CA13" s="198"/>
      <c r="CB13" s="198"/>
    </row>
    <row r="14" spans="1:221" s="92" customFormat="1" ht="8.4499999999999993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1"/>
      <c r="BV14" s="200"/>
      <c r="BW14" s="200"/>
      <c r="BX14" s="200"/>
      <c r="BY14" s="200"/>
      <c r="BZ14" s="200"/>
      <c r="CA14" s="200"/>
      <c r="CB14" s="200"/>
    </row>
    <row r="15" spans="1:221" s="5" customFormat="1" ht="11.1" customHeight="1">
      <c r="A15" s="2" t="s">
        <v>100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202">
        <v>163.30000000000001</v>
      </c>
      <c r="BR15" s="203">
        <v>200.1</v>
      </c>
      <c r="BS15" s="204"/>
      <c r="BT15" s="205"/>
      <c r="BU15" s="116">
        <f>SUM(BQ15:BT15)</f>
        <v>363.4</v>
      </c>
      <c r="BV15" s="117"/>
      <c r="BW15" s="117"/>
      <c r="BX15" s="117"/>
      <c r="BY15" s="117"/>
      <c r="BZ15" s="117"/>
      <c r="CA15" s="117"/>
      <c r="CB15" s="117"/>
      <c r="HH15" s="27"/>
    </row>
    <row r="16" spans="1:221" s="62" customFormat="1" ht="18.75" customHeight="1">
      <c r="A16" s="62" t="s">
        <v>143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>
        <f>+BQ13-BQ6+BQ15</f>
        <v>425.9</v>
      </c>
      <c r="BR16" s="206">
        <f>+BR13-BR6+BR15</f>
        <v>485.49999999999989</v>
      </c>
      <c r="BS16" s="206"/>
      <c r="BT16" s="206"/>
      <c r="BU16" s="121">
        <f>+BQ16+BR16+BS16+BT16</f>
        <v>911.39999999999986</v>
      </c>
      <c r="BV16" s="206"/>
      <c r="BW16" s="206"/>
      <c r="BX16" s="206"/>
      <c r="BY16" s="206"/>
      <c r="BZ16" s="206"/>
      <c r="CA16" s="206"/>
      <c r="CB16" s="206"/>
      <c r="HM16" s="63" t="s">
        <v>54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9"/>
      <c r="BU17" s="201"/>
      <c r="BV17" s="208"/>
      <c r="BW17" s="208"/>
      <c r="BX17" s="208"/>
      <c r="BY17" s="208"/>
      <c r="BZ17" s="208"/>
      <c r="CA17" s="208"/>
      <c r="CB17" s="208"/>
    </row>
    <row r="18" spans="1:80">
      <c r="A18" s="5" t="s">
        <v>149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197"/>
      <c r="BU18" s="116"/>
      <c r="BV18" s="31"/>
      <c r="BW18" s="31"/>
      <c r="BX18" s="31"/>
      <c r="BY18" s="31"/>
      <c r="BZ18" s="31"/>
      <c r="CA18" s="31"/>
      <c r="CB18" s="31"/>
    </row>
    <row r="19" spans="1:80">
      <c r="A19" s="2" t="s">
        <v>101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>
        <v>12.1</v>
      </c>
      <c r="BR19" s="31">
        <v>21.5</v>
      </c>
      <c r="BS19" s="31"/>
      <c r="BT19" s="197"/>
      <c r="BU19" s="116">
        <f>SUM(BQ19:BT19)</f>
        <v>33.6</v>
      </c>
      <c r="BV19" s="31"/>
      <c r="BW19" s="31"/>
      <c r="BX19" s="31"/>
      <c r="BY19" s="31"/>
      <c r="BZ19" s="31"/>
      <c r="CA19" s="31"/>
      <c r="CB19" s="31"/>
    </row>
    <row r="20" spans="1:80">
      <c r="A20" s="2" t="s">
        <v>150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2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3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4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5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6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7">SUM(BK20:BN20)</f>
        <v>97.930872483221478</v>
      </c>
      <c r="BP20" s="31"/>
      <c r="BQ20" s="31">
        <v>27.201000000000001</v>
      </c>
      <c r="BR20" s="31">
        <v>32.5</v>
      </c>
      <c r="BS20" s="31"/>
      <c r="BT20" s="197"/>
      <c r="BU20" s="116">
        <f t="shared" ref="BU20:BU23" si="18">SUM(BQ20:BT20)</f>
        <v>59.701000000000001</v>
      </c>
      <c r="BV20" s="31"/>
      <c r="BW20" s="31"/>
      <c r="BX20" s="31"/>
      <c r="BY20" s="31"/>
      <c r="BZ20" s="31"/>
      <c r="CA20" s="31"/>
      <c r="CB20" s="31"/>
    </row>
    <row r="21" spans="1:80">
      <c r="A21" s="2" t="s">
        <v>117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2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3"/>
        <v>21.208053691275168</v>
      </c>
      <c r="AR21" s="31"/>
      <c r="AS21" s="31"/>
      <c r="AT21" s="31"/>
      <c r="AU21" s="31"/>
      <c r="AV21" s="197"/>
      <c r="AW21" s="116">
        <f t="shared" si="14"/>
        <v>0</v>
      </c>
      <c r="AX21" s="31"/>
      <c r="AY21" s="31"/>
      <c r="AZ21" s="31"/>
      <c r="BA21" s="31"/>
      <c r="BB21" s="197"/>
      <c r="BC21" s="116">
        <f t="shared" si="15"/>
        <v>0</v>
      </c>
      <c r="BD21" s="31"/>
      <c r="BE21" s="31"/>
      <c r="BF21" s="31"/>
      <c r="BG21" s="31"/>
      <c r="BH21" s="197"/>
      <c r="BI21" s="116">
        <f t="shared" si="16"/>
        <v>0</v>
      </c>
      <c r="BJ21" s="31"/>
      <c r="BK21" s="31"/>
      <c r="BL21" s="31"/>
      <c r="BM21" s="31"/>
      <c r="BN21" s="197"/>
      <c r="BO21" s="116">
        <f t="shared" si="17"/>
        <v>0</v>
      </c>
      <c r="BP21" s="31"/>
      <c r="BQ21" s="31"/>
      <c r="BR21" s="31"/>
      <c r="BS21" s="31"/>
      <c r="BT21" s="197"/>
      <c r="BU21" s="116">
        <f t="shared" si="18"/>
        <v>0</v>
      </c>
      <c r="BV21" s="31"/>
      <c r="BW21" s="31"/>
      <c r="BX21" s="31"/>
      <c r="BY21" s="31"/>
      <c r="BZ21" s="31"/>
      <c r="CA21" s="31"/>
      <c r="CB21" s="31"/>
    </row>
    <row r="22" spans="1:80">
      <c r="A22" s="2" t="s">
        <v>99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2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3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4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5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6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7"/>
        <v>3.6711409395973154</v>
      </c>
      <c r="BP22" s="31"/>
      <c r="BQ22" s="31">
        <v>-0.3</v>
      </c>
      <c r="BR22" s="31">
        <v>-0.3</v>
      </c>
      <c r="BS22" s="31"/>
      <c r="BT22" s="197"/>
      <c r="BU22" s="116">
        <f t="shared" si="18"/>
        <v>-0.6</v>
      </c>
      <c r="BV22" s="31"/>
      <c r="BW22" s="31"/>
      <c r="BX22" s="31"/>
      <c r="BY22" s="31"/>
      <c r="BZ22" s="31"/>
      <c r="CA22" s="31"/>
      <c r="CB22" s="31"/>
    </row>
    <row r="23" spans="1:80">
      <c r="A23" s="2" t="s">
        <v>72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2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3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4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5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6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7"/>
        <v>-3.4187919463087248</v>
      </c>
      <c r="BP23" s="31"/>
      <c r="BQ23" s="31">
        <v>-0.7</v>
      </c>
      <c r="BR23" s="31">
        <v>-0.8</v>
      </c>
      <c r="BS23" s="31"/>
      <c r="BT23" s="197"/>
      <c r="BU23" s="116">
        <f t="shared" si="18"/>
        <v>-1.5</v>
      </c>
      <c r="BV23" s="31"/>
      <c r="BW23" s="31"/>
      <c r="BX23" s="31"/>
      <c r="BY23" s="31"/>
      <c r="BZ23" s="31"/>
      <c r="CA23" s="31"/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0">
        <f>SUM(BQ18:BQ23)</f>
        <v>38.301000000000002</v>
      </c>
      <c r="BR24" s="120">
        <f>SUM(BR18:BR23)</f>
        <v>52.900000000000006</v>
      </c>
      <c r="BS24" s="120"/>
      <c r="BT24" s="120"/>
      <c r="BU24" s="121">
        <f>SUM(BU18:BU23)</f>
        <v>91.201000000000008</v>
      </c>
      <c r="BV24" s="123"/>
      <c r="BW24" s="123"/>
      <c r="BX24" s="123"/>
      <c r="BY24" s="123"/>
      <c r="BZ24" s="123"/>
      <c r="CA24" s="123"/>
      <c r="CB24" s="123"/>
    </row>
    <row r="25" spans="1:80" s="89" customFormat="1" ht="18.75" customHeight="1">
      <c r="A25" s="92" t="s">
        <v>145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19">+AH24/AH16</f>
        <v>9.5496105655265826E-2</v>
      </c>
      <c r="AI25" s="99">
        <f t="shared" si="19"/>
        <v>9.4121644580360181E-2</v>
      </c>
      <c r="AJ25" s="99">
        <f t="shared" si="19"/>
        <v>6.25E-2</v>
      </c>
      <c r="AK25" s="100">
        <f t="shared" si="19"/>
        <v>8.5990590695243049E-2</v>
      </c>
      <c r="AM25" s="99">
        <f>+AM24/AM16</f>
        <v>7.7191756898358374E-2</v>
      </c>
      <c r="AN25" s="99">
        <f t="shared" ref="AN25" si="20">+AN24/AN16</f>
        <v>7.0848228794280141E-2</v>
      </c>
      <c r="AO25" s="99">
        <f t="shared" ref="AO25" si="21">+AO24/AO16</f>
        <v>0.10439378923026098</v>
      </c>
      <c r="AP25" s="99">
        <f t="shared" ref="AP25" si="22">+AP24/AP16</f>
        <v>8.8253768844221092E-2</v>
      </c>
      <c r="AQ25" s="100">
        <f t="shared" ref="AQ25" si="23">+AQ24/AQ16</f>
        <v>8.5260472389103767E-2</v>
      </c>
      <c r="AS25" s="99">
        <f>+AS24/AS16</f>
        <v>8.1610833927298634E-2</v>
      </c>
      <c r="AT25" s="99">
        <f t="shared" ref="AT25" si="24">+AT24/AT16</f>
        <v>7.7297823968821025E-2</v>
      </c>
      <c r="AU25" s="99">
        <f t="shared" ref="AU25" si="25">+AU24/AU16</f>
        <v>8.2674571805006578E-2</v>
      </c>
      <c r="AV25" s="99">
        <f t="shared" ref="AV25" si="26">+AV24/AV16</f>
        <v>9.9473194917880398E-2</v>
      </c>
      <c r="AW25" s="100">
        <f t="shared" ref="AW25" si="27">+AW24/AW16</f>
        <v>8.5528482054659183E-2</v>
      </c>
      <c r="AY25" s="99">
        <f>+AY24/AY16</f>
        <v>7.5900664568030796E-2</v>
      </c>
      <c r="AZ25" s="99">
        <f t="shared" ref="AZ25" si="28">+AZ24/AZ16</f>
        <v>8.5784313725490197E-2</v>
      </c>
      <c r="BA25" s="99">
        <f t="shared" ref="BA25" si="29">+BA24/BA16</f>
        <v>7.8001218769043271E-2</v>
      </c>
      <c r="BB25" s="99">
        <f t="shared" ref="BB25" si="30">+BB24/BB16</f>
        <v>9.6567771960442098E-2</v>
      </c>
      <c r="BC25" s="100">
        <f t="shared" ref="BC25" si="31">+BC24/BC16</f>
        <v>8.448181888966752E-2</v>
      </c>
      <c r="BE25" s="99">
        <f>+BE24/BE16</f>
        <v>7.9899339414910328E-2</v>
      </c>
      <c r="BF25" s="99">
        <f t="shared" ref="BF25" si="32">+BF24/BF16</f>
        <v>9.679352712016781E-2</v>
      </c>
      <c r="BG25" s="99">
        <f t="shared" ref="BG25" si="33">+BG24/BG16</f>
        <v>8.2596769277659243E-2</v>
      </c>
      <c r="BH25" s="99">
        <f t="shared" ref="BH25" si="34">+BH24/BH16</f>
        <v>0.1244457582027786</v>
      </c>
      <c r="BI25" s="100">
        <f t="shared" ref="BI25" si="35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6">+BO24/BO16</f>
        <v>9.3745152784240726E-2</v>
      </c>
      <c r="BQ25" s="101">
        <f>+BQ24/BQ16</f>
        <v>8.9929560929795732E-2</v>
      </c>
      <c r="BR25" s="101">
        <f>+BR24/BR16</f>
        <v>0.10895983522142125</v>
      </c>
      <c r="BS25" s="99"/>
      <c r="BT25" s="99"/>
      <c r="BU25" s="100">
        <f t="shared" ref="BU25" si="37">+BU24/BU16</f>
        <v>0.1000669299978056</v>
      </c>
    </row>
    <row r="26" spans="1:80" ht="18.75" customHeight="1">
      <c r="A26" s="5" t="s">
        <v>146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38">+AH19/AH15</f>
        <v>5.967976710334788E-2</v>
      </c>
      <c r="AI26" s="28">
        <f t="shared" si="38"/>
        <v>9.3053735255570119E-2</v>
      </c>
      <c r="AJ26" s="28">
        <f t="shared" si="38"/>
        <v>2.8553693358162633E-2</v>
      </c>
      <c r="AK26" s="95">
        <f t="shared" si="38"/>
        <v>5.9311339462772665E-2</v>
      </c>
      <c r="AM26" s="28">
        <f>+AM19/AM15</f>
        <v>2.2082018927444793E-2</v>
      </c>
      <c r="AN26" s="28">
        <f t="shared" ref="AN26:AQ26" si="39">+AN19/AN15</f>
        <v>6.5359477124183009E-3</v>
      </c>
      <c r="AO26" s="28">
        <f t="shared" si="39"/>
        <v>4.894629503738953E-2</v>
      </c>
      <c r="AP26" s="28">
        <f t="shared" si="39"/>
        <v>4.8057932850559586E-2</v>
      </c>
      <c r="AQ26" s="95">
        <f t="shared" si="39"/>
        <v>3.2298136645962733E-2</v>
      </c>
      <c r="AS26" s="28">
        <f>+AS19/AS15</f>
        <v>3.5971223021582732E-2</v>
      </c>
      <c r="AT26" s="28">
        <f t="shared" ref="AT26:AW26" si="40">+AT19/AT15</f>
        <v>3.3733133433283359E-2</v>
      </c>
      <c r="AU26" s="28">
        <f t="shared" si="40"/>
        <v>6.9529652351738233E-2</v>
      </c>
      <c r="AV26" s="28">
        <f t="shared" si="40"/>
        <v>6.830238726790451E-2</v>
      </c>
      <c r="AW26" s="95">
        <f t="shared" si="40"/>
        <v>5.3495665006456368E-2</v>
      </c>
      <c r="AY26" s="28">
        <f>+AY19/AY15</f>
        <v>3.7423846823324627E-2</v>
      </c>
      <c r="AZ26" s="28">
        <f t="shared" ref="AZ26:BC26" si="41">+AZ19/AZ15</f>
        <v>4.784688995215311E-2</v>
      </c>
      <c r="BA26" s="28">
        <f t="shared" si="41"/>
        <v>6.2010836845273927E-2</v>
      </c>
      <c r="BB26" s="28">
        <f t="shared" si="41"/>
        <v>6.8233944954128448E-2</v>
      </c>
      <c r="BC26" s="95">
        <f t="shared" si="41"/>
        <v>5.5675585840119668E-2</v>
      </c>
      <c r="BE26" s="28">
        <f>+BE19/BE15</f>
        <v>3.5558780841799711E-2</v>
      </c>
      <c r="BF26" s="28">
        <f t="shared" ref="BF26:BI26" si="42">+BF19/BF15</f>
        <v>7.6361221779548474E-2</v>
      </c>
      <c r="BG26" s="28">
        <f t="shared" si="42"/>
        <v>8.1472540736270374E-2</v>
      </c>
      <c r="BH26" s="28">
        <f t="shared" si="42"/>
        <v>0.12219286657859973</v>
      </c>
      <c r="BI26" s="95">
        <f t="shared" si="42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3">+BO19/BO15</f>
        <v>8.983998985752005E-2</v>
      </c>
      <c r="BQ26" s="29">
        <f>+BQ19/BQ15</f>
        <v>7.4096754439681556E-2</v>
      </c>
      <c r="BR26" s="29">
        <v>0.108</v>
      </c>
      <c r="BS26" s="28"/>
      <c r="BT26" s="28"/>
      <c r="BU26" s="95">
        <f>+BU19/BU15+0.001</f>
        <v>9.3460099064391872E-2</v>
      </c>
    </row>
    <row r="27" spans="1:80" ht="18.75" customHeight="1">
      <c r="A27" s="5" t="s">
        <v>148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4">+AH20/AH7</f>
        <v>0.12402088772845953</v>
      </c>
      <c r="AI27" s="28">
        <f t="shared" si="44"/>
        <v>9.4752186588921275E-2</v>
      </c>
      <c r="AJ27" s="28">
        <f t="shared" si="44"/>
        <v>8.4210526315789472E-2</v>
      </c>
      <c r="AK27" s="95">
        <f t="shared" si="44"/>
        <v>0.10649034278754134</v>
      </c>
      <c r="AM27" s="28">
        <f>+AM20/AM7</f>
        <v>0.1166237113402062</v>
      </c>
      <c r="AN27" s="28">
        <f t="shared" ref="AN27:AQ27" si="45">+AN20/AN7</f>
        <v>0.12113870381586918</v>
      </c>
      <c r="AO27" s="28">
        <f t="shared" si="45"/>
        <v>0.10726182544970021</v>
      </c>
      <c r="AP27" s="28">
        <f t="shared" si="45"/>
        <v>0.11852776044915782</v>
      </c>
      <c r="AQ27" s="95">
        <f t="shared" si="45"/>
        <v>0.11606151894720153</v>
      </c>
      <c r="AS27" s="28">
        <f>+AS20/AS7</f>
        <v>0.11980440097799511</v>
      </c>
      <c r="AT27" s="28">
        <f t="shared" ref="AT27:AW27" si="46">+AT20/AT7</f>
        <v>0.12285883047844064</v>
      </c>
      <c r="AU27" s="28">
        <f t="shared" si="46"/>
        <v>0.10415293342122611</v>
      </c>
      <c r="AV27" s="28">
        <f t="shared" si="46"/>
        <v>0.12948328267477202</v>
      </c>
      <c r="AW27" s="95">
        <f t="shared" si="46"/>
        <v>0.11939608688953936</v>
      </c>
      <c r="AY27" s="28">
        <f>+AY20/AY7</f>
        <v>0.113595166163142</v>
      </c>
      <c r="AZ27" s="28">
        <f t="shared" ref="AZ27:BC27" si="47">+AZ20/AZ7</f>
        <v>0.12866168868466399</v>
      </c>
      <c r="BA27" s="28">
        <f t="shared" si="47"/>
        <v>0.10025706940874037</v>
      </c>
      <c r="BB27" s="28">
        <f t="shared" si="47"/>
        <v>0.1305158483530143</v>
      </c>
      <c r="BC27" s="95">
        <f t="shared" si="47"/>
        <v>0.11857948483462888</v>
      </c>
      <c r="BE27" s="28">
        <f>+BE20/BE7</f>
        <v>0.12262521588946459</v>
      </c>
      <c r="BF27" s="28">
        <f t="shared" ref="BF27:BI27" si="48">+BF20/BF7</f>
        <v>0.1236528644356211</v>
      </c>
      <c r="BG27" s="28">
        <f t="shared" si="48"/>
        <v>9.0442591404746614E-2</v>
      </c>
      <c r="BH27" s="28">
        <f t="shared" si="48"/>
        <v>0.12774338773213281</v>
      </c>
      <c r="BI27" s="95">
        <f t="shared" si="48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/>
      <c r="BT27" s="28"/>
      <c r="BU27" s="95">
        <f>+BU20/BU7</f>
        <v>0.11224102274863697</v>
      </c>
    </row>
    <row r="28" spans="1:80" ht="18.75" customHeight="1">
      <c r="A28" s="5" t="s">
        <v>147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49">+AM22/AM10</f>
        <v>-0.18604651162790697</v>
      </c>
      <c r="AN28" s="28">
        <f t="shared" si="49"/>
        <v>-0.02</v>
      </c>
      <c r="AO28" s="28">
        <f t="shared" si="49"/>
        <v>5.4545454545454543E-2</v>
      </c>
      <c r="AP28" s="28">
        <f t="shared" si="49"/>
        <v>0.11290322580645161</v>
      </c>
      <c r="AQ28" s="95">
        <f>+AQ22/AQ10</f>
        <v>4.7619047619047589E-3</v>
      </c>
      <c r="AS28" s="28">
        <f t="shared" ref="AS28:AV28" si="50">+AS22/AS10</f>
        <v>-1.6949152542372881E-2</v>
      </c>
      <c r="AT28" s="28">
        <f t="shared" si="50"/>
        <v>-7.6923076923076927E-2</v>
      </c>
      <c r="AU28" s="28">
        <f t="shared" si="50"/>
        <v>-1.9607843137254905E-2</v>
      </c>
      <c r="AV28" s="28">
        <f t="shared" si="50"/>
        <v>0.19999999999999998</v>
      </c>
      <c r="AW28" s="95">
        <f>+AW22/AW10</f>
        <v>3.7974683544303785E-2</v>
      </c>
      <c r="AY28" s="28">
        <f t="shared" ref="AY28:BB28" si="51">+AY22/AY10</f>
        <v>-9.0909090909090925E-2</v>
      </c>
      <c r="AZ28" s="28">
        <f t="shared" si="51"/>
        <v>-1.6129032258064516E-2</v>
      </c>
      <c r="BA28" s="28">
        <f t="shared" si="51"/>
        <v>3.2258064516129031E-2</v>
      </c>
      <c r="BB28" s="28">
        <f t="shared" si="51"/>
        <v>0.11494252873563218</v>
      </c>
      <c r="BC28" s="95">
        <f>+BC22/BC10</f>
        <v>2.2556390977443608E-2</v>
      </c>
      <c r="BE28" s="28">
        <f t="shared" ref="BE28:BG28" si="52">+BE22/BE10</f>
        <v>0</v>
      </c>
      <c r="BF28" s="28">
        <f t="shared" si="52"/>
        <v>-2.9850746268656719E-2</v>
      </c>
      <c r="BG28" s="28">
        <f t="shared" si="52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3">+BK22/BK10</f>
        <v>-1.5384615384615384E-2</v>
      </c>
      <c r="BL28" s="28">
        <f t="shared" si="53"/>
        <v>-0.12903225806451613</v>
      </c>
      <c r="BM28" s="28">
        <f t="shared" ref="BM28" si="54">+BM22/BM10</f>
        <v>0.17283950617283952</v>
      </c>
      <c r="BN28" s="28">
        <v>0.253</v>
      </c>
      <c r="BO28" s="95">
        <v>9.6000000000000002E-2</v>
      </c>
      <c r="BQ28" s="227" t="s">
        <v>221</v>
      </c>
      <c r="BR28" s="227" t="s">
        <v>221</v>
      </c>
      <c r="BS28" s="225"/>
      <c r="BT28" s="225"/>
      <c r="BU28" s="226" t="s">
        <v>221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  <c r="BQ29" s="7"/>
      <c r="BR29" s="7"/>
      <c r="BS29" s="7"/>
      <c r="BT29" s="19"/>
      <c r="BU29" s="47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  <c r="BQ30" s="7"/>
      <c r="BR30" s="7"/>
      <c r="BS30" s="7"/>
      <c r="BT30" s="19"/>
      <c r="BU30" s="47"/>
    </row>
    <row r="31" spans="1:80">
      <c r="A31" s="2" t="s">
        <v>101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>
        <v>9.6999999999999993</v>
      </c>
      <c r="BR31" s="31">
        <v>19.399999999999999</v>
      </c>
      <c r="BS31" s="31"/>
      <c r="BT31" s="197"/>
      <c r="BU31" s="116">
        <f>SUM(BQ31:BT31)</f>
        <v>29.099999999999998</v>
      </c>
      <c r="BV31" s="31"/>
      <c r="BW31" s="31"/>
      <c r="BX31" s="31"/>
      <c r="BY31" s="31"/>
      <c r="BZ31" s="31"/>
      <c r="CA31" s="31"/>
      <c r="CB31" s="31"/>
    </row>
    <row r="32" spans="1:80">
      <c r="A32" s="2" t="s">
        <v>150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5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6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57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58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59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60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61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62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3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4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5">SUM(BK32:BN32)</f>
        <v>97.930872483221478</v>
      </c>
      <c r="BP32" s="31"/>
      <c r="BQ32" s="31">
        <v>27.201000000000001</v>
      </c>
      <c r="BR32" s="31">
        <v>32.5</v>
      </c>
      <c r="BS32" s="31"/>
      <c r="BT32" s="197"/>
      <c r="BU32" s="116">
        <f t="shared" ref="BU32:BU37" si="66">SUM(BQ32:BT32)</f>
        <v>59.701000000000001</v>
      </c>
      <c r="BV32" s="31"/>
      <c r="BW32" s="31"/>
      <c r="BX32" s="31"/>
      <c r="BY32" s="31"/>
      <c r="BZ32" s="31"/>
      <c r="CA32" s="31"/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5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6"/>
        <v>0</v>
      </c>
      <c r="N33" s="31"/>
      <c r="O33" s="31">
        <v>0</v>
      </c>
      <c r="P33" s="31">
        <v>0</v>
      </c>
      <c r="Q33" s="31">
        <v>0</v>
      </c>
      <c r="R33" s="31" t="s">
        <v>54</v>
      </c>
      <c r="S33" s="116">
        <f t="shared" si="57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58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59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60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61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62"/>
        <v>0</v>
      </c>
      <c r="AX33" s="31"/>
      <c r="AY33" s="31"/>
      <c r="AZ33" s="31"/>
      <c r="BA33" s="31"/>
      <c r="BB33" s="197"/>
      <c r="BC33" s="116">
        <f t="shared" si="63"/>
        <v>0</v>
      </c>
      <c r="BD33" s="31"/>
      <c r="BE33" s="31"/>
      <c r="BF33" s="31"/>
      <c r="BG33" s="31"/>
      <c r="BH33" s="197"/>
      <c r="BI33" s="116">
        <f t="shared" si="64"/>
        <v>0</v>
      </c>
      <c r="BJ33" s="31"/>
      <c r="BK33" s="31"/>
      <c r="BL33" s="31"/>
      <c r="BM33" s="31"/>
      <c r="BN33" s="197"/>
      <c r="BO33" s="116">
        <f t="shared" si="65"/>
        <v>0</v>
      </c>
      <c r="BP33" s="31"/>
      <c r="BQ33" s="31"/>
      <c r="BR33" s="31"/>
      <c r="BS33" s="31"/>
      <c r="BT33" s="197"/>
      <c r="BU33" s="116">
        <f t="shared" si="66"/>
        <v>0</v>
      </c>
      <c r="BV33" s="31"/>
      <c r="BW33" s="31"/>
      <c r="BX33" s="31"/>
      <c r="BY33" s="31"/>
      <c r="BZ33" s="31"/>
      <c r="CA33" s="31"/>
      <c r="CB33" s="31"/>
    </row>
    <row r="34" spans="1:216">
      <c r="A34" s="2" t="s">
        <v>117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5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6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57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58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59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60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61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62"/>
        <v>0</v>
      </c>
      <c r="AX34" s="31"/>
      <c r="AY34" s="211"/>
      <c r="AZ34" s="211"/>
      <c r="BA34" s="31"/>
      <c r="BB34" s="197"/>
      <c r="BC34" s="116">
        <f t="shared" si="63"/>
        <v>0</v>
      </c>
      <c r="BD34" s="31"/>
      <c r="BE34" s="211"/>
      <c r="BF34" s="211"/>
      <c r="BG34" s="31"/>
      <c r="BH34" s="197"/>
      <c r="BI34" s="116">
        <f t="shared" si="64"/>
        <v>0</v>
      </c>
      <c r="BJ34" s="31"/>
      <c r="BK34" s="211"/>
      <c r="BL34" s="211"/>
      <c r="BM34" s="31"/>
      <c r="BN34" s="197"/>
      <c r="BO34" s="116">
        <f t="shared" si="65"/>
        <v>0</v>
      </c>
      <c r="BP34" s="31"/>
      <c r="BQ34" s="211"/>
      <c r="BR34" s="211"/>
      <c r="BS34" s="31"/>
      <c r="BT34" s="197"/>
      <c r="BU34" s="116">
        <f t="shared" si="66"/>
        <v>0</v>
      </c>
      <c r="BV34" s="31"/>
      <c r="BW34" s="31"/>
      <c r="BX34" s="31"/>
      <c r="BY34" s="31"/>
      <c r="BZ34" s="31"/>
      <c r="CA34" s="31"/>
      <c r="CB34" s="31"/>
    </row>
    <row r="35" spans="1:216">
      <c r="A35" s="2" t="s">
        <v>99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5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6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57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58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59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60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61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62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3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4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5"/>
        <v>3.6711409395973154</v>
      </c>
      <c r="BP35" s="31"/>
      <c r="BQ35" s="31">
        <v>-0.3</v>
      </c>
      <c r="BR35" s="31">
        <v>-0.3</v>
      </c>
      <c r="BS35" s="31"/>
      <c r="BT35" s="197"/>
      <c r="BU35" s="116">
        <f t="shared" si="66"/>
        <v>-0.6</v>
      </c>
      <c r="BV35" s="31"/>
      <c r="BW35" s="31"/>
      <c r="BX35" s="31"/>
      <c r="BY35" s="31"/>
      <c r="BZ35" s="31"/>
      <c r="CA35" s="31"/>
      <c r="CB35" s="31"/>
    </row>
    <row r="36" spans="1:216" hidden="1">
      <c r="A36" s="2" t="s">
        <v>35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5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6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57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58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59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60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61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62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3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4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5"/>
        <v>0</v>
      </c>
      <c r="BP36" s="31"/>
      <c r="BQ36" s="31">
        <v>0</v>
      </c>
      <c r="BR36" s="31"/>
      <c r="BS36" s="31"/>
      <c r="BT36" s="197"/>
      <c r="BU36" s="116">
        <f t="shared" si="66"/>
        <v>0</v>
      </c>
      <c r="BV36" s="31"/>
      <c r="BW36" s="31"/>
      <c r="BX36" s="31"/>
      <c r="BY36" s="31"/>
      <c r="BZ36" s="31"/>
      <c r="CA36" s="31"/>
      <c r="CB36" s="31"/>
    </row>
    <row r="37" spans="1:216">
      <c r="A37" s="2" t="s">
        <v>72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5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6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57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58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59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60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61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62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3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4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5"/>
        <v>-3.4187919463087248</v>
      </c>
      <c r="BP37" s="31"/>
      <c r="BQ37" s="31">
        <v>-0.7</v>
      </c>
      <c r="BR37" s="31">
        <v>-0.8</v>
      </c>
      <c r="BS37" s="31"/>
      <c r="BT37" s="197"/>
      <c r="BU37" s="116">
        <f t="shared" si="66"/>
        <v>-1.5</v>
      </c>
      <c r="BV37" s="31"/>
      <c r="BW37" s="31"/>
      <c r="BX37" s="31"/>
      <c r="BY37" s="31"/>
      <c r="BZ37" s="31"/>
      <c r="CA37" s="31"/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>
        <f>SUM(BQ30:BQ37)</f>
        <v>35.900999999999996</v>
      </c>
      <c r="BR38" s="198">
        <f>SUM(BR30:BR37)</f>
        <v>50.800000000000004</v>
      </c>
      <c r="BS38" s="198"/>
      <c r="BT38" s="198"/>
      <c r="BU38" s="199">
        <f>SUM(BU30:BU37)</f>
        <v>86.701000000000008</v>
      </c>
      <c r="BV38" s="198"/>
      <c r="BW38" s="198"/>
      <c r="BX38" s="198"/>
      <c r="BY38" s="198"/>
      <c r="BZ38" s="198"/>
      <c r="CA38" s="198"/>
      <c r="CB38" s="198"/>
    </row>
    <row r="39" spans="1:216" s="92" customFormat="1" ht="18.75" customHeight="1">
      <c r="A39" s="92" t="s">
        <v>36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  <c r="BQ39" s="99">
        <f>BQ38/BQ13</f>
        <v>7.3931219110378907E-2</v>
      </c>
      <c r="BR39" s="99">
        <f>BR38/BR13</f>
        <v>9.1829356471438917E-2</v>
      </c>
      <c r="BS39" s="99"/>
      <c r="BT39" s="99"/>
      <c r="BU39" s="100">
        <f>BU38/BU13</f>
        <v>8.3462649210627654E-2</v>
      </c>
    </row>
    <row r="40" spans="1:216" s="5" customFormat="1" ht="18.75" customHeight="1">
      <c r="A40" s="5" t="s">
        <v>76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/>
      <c r="BT40" s="28"/>
      <c r="BU40" s="95">
        <f>BU31/BU6</f>
        <v>5.9290953545232269E-2</v>
      </c>
      <c r="HH40" s="27"/>
    </row>
    <row r="41" spans="1:216" s="5" customFormat="1" ht="18.75" customHeight="1">
      <c r="A41" s="5" t="s">
        <v>77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/>
      <c r="BT41" s="28"/>
      <c r="BU41" s="95">
        <f>BU31/BU15</f>
        <v>8.0077050082553655E-2</v>
      </c>
      <c r="HH41" s="27"/>
    </row>
    <row r="42" spans="1:216" s="5" customFormat="1" ht="18.75" customHeight="1">
      <c r="A42" s="5" t="s">
        <v>148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/>
      <c r="BT42" s="28"/>
      <c r="BU42" s="95">
        <f>BU32/BU7</f>
        <v>0.11224102274863697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BU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  <c r="BU44" s="72"/>
    </row>
    <row r="45" spans="1:216" hidden="1">
      <c r="A45" s="2" t="s">
        <v>102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  <c r="BU45" s="72"/>
    </row>
    <row r="46" spans="1:216" hidden="1">
      <c r="A46" s="2" t="s">
        <v>29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  <c r="BU46" s="72"/>
    </row>
    <row r="47" spans="1:216" hidden="1">
      <c r="A47" s="2" t="s">
        <v>30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  <c r="BU47" s="72"/>
    </row>
    <row r="48" spans="1:216" hidden="1">
      <c r="A48" s="2" t="s">
        <v>31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  <c r="BU48" s="72"/>
    </row>
    <row r="49" spans="1:216" hidden="1">
      <c r="A49" s="2" t="s">
        <v>99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  <c r="BU49" s="72"/>
    </row>
    <row r="50" spans="1:216" hidden="1">
      <c r="A50" s="2" t="s">
        <v>35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  <c r="BU50" s="72"/>
    </row>
    <row r="51" spans="1:216" hidden="1">
      <c r="A51" s="2" t="s">
        <v>32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  <c r="BU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BU52" s="46"/>
      <c r="HH52" s="26"/>
    </row>
    <row r="53" spans="1:216" s="5" customFormat="1" ht="18.75" hidden="1" customHeight="1">
      <c r="A53" s="5" t="s">
        <v>47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BU53" s="46"/>
      <c r="HH53" s="27"/>
    </row>
    <row r="54" spans="1:216" s="5" customFormat="1" ht="18.75" hidden="1" customHeight="1">
      <c r="A54" s="5" t="s">
        <v>76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BU54" s="46"/>
      <c r="HH54" s="27"/>
    </row>
    <row r="55" spans="1:216" s="5" customFormat="1" ht="18.75" hidden="1" customHeight="1">
      <c r="A55" s="5" t="s">
        <v>77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BU55" s="46"/>
      <c r="HH55" s="27"/>
    </row>
    <row r="56" spans="1:216" s="5" customFormat="1" ht="18.75" hidden="1" customHeight="1">
      <c r="A56" s="5" t="s">
        <v>37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BU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BU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BU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  <c r="BU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  <c r="BQ60" s="7"/>
      <c r="BR60" s="7"/>
      <c r="BS60" s="7"/>
      <c r="BT60" s="7"/>
      <c r="BU60" s="47"/>
    </row>
    <row r="61" spans="1:216">
      <c r="A61" s="2" t="s">
        <v>101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>
        <v>0.3</v>
      </c>
      <c r="BR61" s="31">
        <v>10.1</v>
      </c>
      <c r="BS61" s="31"/>
      <c r="BT61" s="197"/>
      <c r="BU61" s="116">
        <f>SUM(BQ61:BT61)</f>
        <v>10.4</v>
      </c>
      <c r="BV61" s="31"/>
      <c r="BW61" s="31"/>
      <c r="BX61" s="31"/>
      <c r="BY61" s="31"/>
      <c r="BZ61" s="31"/>
      <c r="CA61" s="31"/>
      <c r="CB61" s="31"/>
    </row>
    <row r="62" spans="1:216">
      <c r="A62" s="2" t="s">
        <v>150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67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68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69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70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71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72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73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4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5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76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77">SUM(BK62:BN62)</f>
        <v>63.698657718120806</v>
      </c>
      <c r="BP62" s="31"/>
      <c r="BQ62" s="31">
        <v>17.600000000000001</v>
      </c>
      <c r="BR62" s="31">
        <v>22.6</v>
      </c>
      <c r="BS62" s="31"/>
      <c r="BT62" s="197"/>
      <c r="BU62" s="116">
        <f t="shared" ref="BU62:BU67" si="78">SUM(BQ62:BT62)</f>
        <v>40.200000000000003</v>
      </c>
      <c r="BV62" s="31"/>
      <c r="BW62" s="31"/>
      <c r="BX62" s="31"/>
      <c r="BY62" s="31"/>
      <c r="BZ62" s="31"/>
      <c r="CA62" s="31"/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67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68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69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70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71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72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73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4"/>
        <v>0</v>
      </c>
      <c r="AX63" s="31"/>
      <c r="AY63" s="31"/>
      <c r="AZ63" s="31"/>
      <c r="BA63" s="31"/>
      <c r="BB63" s="197"/>
      <c r="BC63" s="116">
        <f t="shared" si="75"/>
        <v>0</v>
      </c>
      <c r="BD63" s="31"/>
      <c r="BE63" s="31"/>
      <c r="BF63" s="31"/>
      <c r="BG63" s="31"/>
      <c r="BH63" s="197"/>
      <c r="BI63" s="116">
        <f t="shared" si="76"/>
        <v>0</v>
      </c>
      <c r="BJ63" s="31"/>
      <c r="BK63" s="31"/>
      <c r="BL63" s="31"/>
      <c r="BM63" s="31"/>
      <c r="BN63" s="197"/>
      <c r="BO63" s="116">
        <f t="shared" si="77"/>
        <v>0</v>
      </c>
      <c r="BP63" s="31"/>
      <c r="BQ63" s="31"/>
      <c r="BR63" s="31"/>
      <c r="BS63" s="31"/>
      <c r="BT63" s="197"/>
      <c r="BU63" s="116">
        <f t="shared" si="78"/>
        <v>0</v>
      </c>
      <c r="BV63" s="31"/>
      <c r="BW63" s="31"/>
      <c r="BX63" s="31"/>
      <c r="BY63" s="31"/>
      <c r="BZ63" s="31"/>
      <c r="CA63" s="31"/>
      <c r="CB63" s="31"/>
    </row>
    <row r="64" spans="1:216">
      <c r="A64" s="2" t="s">
        <v>117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67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68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69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70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71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72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73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4"/>
        <v>0</v>
      </c>
      <c r="AX64" s="31"/>
      <c r="AY64" s="211"/>
      <c r="AZ64" s="211"/>
      <c r="BA64" s="31"/>
      <c r="BB64" s="197"/>
      <c r="BC64" s="116">
        <f t="shared" si="75"/>
        <v>0</v>
      </c>
      <c r="BD64" s="31"/>
      <c r="BE64" s="211"/>
      <c r="BF64" s="211"/>
      <c r="BG64" s="31"/>
      <c r="BH64" s="197"/>
      <c r="BI64" s="116">
        <f t="shared" si="76"/>
        <v>0</v>
      </c>
      <c r="BJ64" s="31"/>
      <c r="BK64" s="211"/>
      <c r="BL64" s="211"/>
      <c r="BM64" s="31"/>
      <c r="BN64" s="197"/>
      <c r="BO64" s="116">
        <f t="shared" si="77"/>
        <v>0</v>
      </c>
      <c r="BP64" s="31"/>
      <c r="BQ64" s="211"/>
      <c r="BR64" s="211"/>
      <c r="BS64" s="31"/>
      <c r="BT64" s="197"/>
      <c r="BU64" s="116">
        <f t="shared" si="78"/>
        <v>0</v>
      </c>
      <c r="BV64" s="31"/>
      <c r="BW64" s="31"/>
      <c r="BX64" s="31"/>
      <c r="BY64" s="31"/>
      <c r="BZ64" s="31"/>
      <c r="CA64" s="31"/>
      <c r="CB64" s="31"/>
    </row>
    <row r="65" spans="1:216">
      <c r="A65" s="2" t="s">
        <v>99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67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68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69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70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71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72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73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4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5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76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77"/>
        <v>-2.4637583892617454</v>
      </c>
      <c r="BP65" s="31"/>
      <c r="BQ65" s="31">
        <v>-1</v>
      </c>
      <c r="BR65" s="31">
        <v>-1.6</v>
      </c>
      <c r="BS65" s="31"/>
      <c r="BT65" s="197"/>
      <c r="BU65" s="116">
        <f t="shared" si="78"/>
        <v>-2.6</v>
      </c>
      <c r="BV65" s="31"/>
      <c r="BW65" s="31"/>
      <c r="BX65" s="31"/>
      <c r="BY65" s="31"/>
      <c r="BZ65" s="31"/>
      <c r="CA65" s="31"/>
      <c r="CB65" s="31"/>
    </row>
    <row r="66" spans="1:216" hidden="1">
      <c r="A66" s="2" t="s">
        <v>35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67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68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69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70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71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72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73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4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5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76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77"/>
        <v>0</v>
      </c>
      <c r="BP66" s="31"/>
      <c r="BQ66" s="31">
        <v>0</v>
      </c>
      <c r="BR66" s="31"/>
      <c r="BS66" s="31"/>
      <c r="BT66" s="197"/>
      <c r="BU66" s="116">
        <f t="shared" si="78"/>
        <v>0</v>
      </c>
      <c r="BV66" s="31"/>
      <c r="BW66" s="31"/>
      <c r="BX66" s="31"/>
      <c r="BY66" s="31"/>
      <c r="BZ66" s="31"/>
      <c r="CA66" s="31"/>
      <c r="CB66" s="31"/>
    </row>
    <row r="67" spans="1:216">
      <c r="A67" s="2" t="s">
        <v>72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67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68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69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70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71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72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73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4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5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76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77"/>
        <v>-3.4503355704697989</v>
      </c>
      <c r="BP67" s="31"/>
      <c r="BQ67" s="31">
        <v>-0.67114093959731547</v>
      </c>
      <c r="BR67" s="31">
        <v>-0.8</v>
      </c>
      <c r="BS67" s="31"/>
      <c r="BT67" s="197"/>
      <c r="BU67" s="116">
        <f t="shared" si="78"/>
        <v>-1.4711409395973156</v>
      </c>
      <c r="BV67" s="31"/>
      <c r="BW67" s="31"/>
      <c r="BX67" s="31"/>
      <c r="BY67" s="31"/>
      <c r="BZ67" s="31"/>
      <c r="CA67" s="31"/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>
        <f>SUM(BQ60:BQ67)</f>
        <v>16.228859060402687</v>
      </c>
      <c r="BR68" s="198">
        <f>SUM(BR60:BR67)</f>
        <v>30.3</v>
      </c>
      <c r="BS68" s="198"/>
      <c r="BT68" s="198"/>
      <c r="BU68" s="199">
        <f>SUM(BU60:BU67)</f>
        <v>46.528859060402681</v>
      </c>
      <c r="BV68" s="198"/>
      <c r="BW68" s="198"/>
      <c r="BX68" s="198"/>
      <c r="BY68" s="198"/>
      <c r="BZ68" s="198"/>
      <c r="CA68" s="198"/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01"/>
      <c r="BV69" s="212"/>
      <c r="BW69" s="212"/>
      <c r="BX69" s="212"/>
      <c r="BY69" s="212"/>
      <c r="BZ69" s="212"/>
      <c r="CA69" s="212"/>
      <c r="CB69" s="212"/>
    </row>
    <row r="70" spans="1:216">
      <c r="A70" s="5" t="s">
        <v>33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213"/>
      <c r="BS70" s="213"/>
      <c r="BT70" s="202"/>
      <c r="BU70" s="214"/>
      <c r="BV70" s="31"/>
      <c r="BW70" s="31"/>
      <c r="BX70" s="31"/>
      <c r="BY70" s="31"/>
      <c r="BZ70" s="31"/>
      <c r="CA70" s="31"/>
      <c r="CB70" s="31"/>
    </row>
    <row r="71" spans="1:216" s="89" customFormat="1">
      <c r="A71" s="89" t="s">
        <v>101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5">
        <v>393.7</v>
      </c>
      <c r="BR71" s="217">
        <v>404.1</v>
      </c>
      <c r="BS71" s="215"/>
      <c r="BT71" s="212"/>
      <c r="BU71" s="216"/>
      <c r="BV71" s="212"/>
      <c r="BW71" s="212"/>
      <c r="BX71" s="212"/>
      <c r="BY71" s="212"/>
      <c r="BZ71" s="212"/>
      <c r="CA71" s="212"/>
      <c r="CB71" s="212"/>
    </row>
    <row r="72" spans="1:216">
      <c r="A72" s="2" t="s">
        <v>150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126">
        <v>541.6</v>
      </c>
      <c r="BR72" s="205">
        <v>545.4</v>
      </c>
      <c r="BS72" s="203"/>
      <c r="BT72" s="202"/>
      <c r="BU72" s="214"/>
      <c r="BV72" s="31"/>
      <c r="BW72" s="31"/>
      <c r="BX72" s="31"/>
      <c r="BY72" s="31"/>
      <c r="BZ72" s="31"/>
      <c r="CA72" s="31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126"/>
      <c r="BR73" s="197"/>
      <c r="BS73" s="202"/>
      <c r="BT73" s="202"/>
      <c r="BU73" s="214"/>
      <c r="BV73" s="31"/>
      <c r="BW73" s="31"/>
      <c r="BX73" s="31"/>
      <c r="BY73" s="31"/>
      <c r="BZ73" s="31"/>
      <c r="CA73" s="31"/>
      <c r="CB73" s="31"/>
    </row>
    <row r="74" spans="1:216">
      <c r="A74" s="2" t="s">
        <v>119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126"/>
      <c r="BR74" s="126"/>
      <c r="BS74" s="126"/>
      <c r="BT74" s="31"/>
      <c r="BU74" s="129"/>
      <c r="BV74" s="31"/>
      <c r="BW74" s="31"/>
      <c r="BX74" s="31"/>
      <c r="BY74" s="31"/>
      <c r="BZ74" s="31"/>
      <c r="CA74" s="31"/>
      <c r="CB74" s="31"/>
    </row>
    <row r="75" spans="1:216">
      <c r="A75" s="2" t="s">
        <v>99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126">
        <v>43</v>
      </c>
      <c r="BR75" s="197">
        <v>44.6</v>
      </c>
      <c r="BS75" s="126"/>
      <c r="BT75" s="31"/>
      <c r="BU75" s="129"/>
      <c r="BV75" s="31"/>
      <c r="BW75" s="31"/>
      <c r="BX75" s="31"/>
      <c r="BY75" s="31"/>
      <c r="BZ75" s="31"/>
      <c r="CA75" s="31"/>
      <c r="CB75" s="31"/>
    </row>
    <row r="76" spans="1:216" hidden="1">
      <c r="A76" s="2" t="s">
        <v>35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126">
        <v>0</v>
      </c>
      <c r="BR76" s="197"/>
      <c r="BS76" s="31"/>
      <c r="BT76" s="31"/>
      <c r="BU76" s="129"/>
      <c r="BV76" s="31"/>
      <c r="BW76" s="31"/>
      <c r="BX76" s="31"/>
      <c r="BY76" s="31"/>
      <c r="BZ76" s="31"/>
      <c r="CA76" s="31"/>
      <c r="CB76" s="31"/>
    </row>
    <row r="77" spans="1:216">
      <c r="A77" s="2" t="s">
        <v>32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126">
        <v>-3.4</v>
      </c>
      <c r="BR77" s="197">
        <v>-4.2</v>
      </c>
      <c r="BS77" s="31"/>
      <c r="BT77" s="31"/>
      <c r="BU77" s="129"/>
      <c r="BV77" s="31"/>
      <c r="BW77" s="31"/>
      <c r="BX77" s="31"/>
      <c r="BY77" s="31"/>
      <c r="BZ77" s="31"/>
      <c r="CA77" s="31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219">
        <f>SUM(BQ70:BQ77)</f>
        <v>974.9</v>
      </c>
      <c r="BR78" s="219">
        <f>SUM(BR70:BR77)</f>
        <v>989.9</v>
      </c>
      <c r="BS78" s="219"/>
      <c r="BT78" s="219"/>
      <c r="BU78" s="199"/>
      <c r="BV78" s="198"/>
      <c r="BW78" s="198"/>
      <c r="BX78" s="198"/>
      <c r="BY78" s="198"/>
      <c r="BZ78" s="198"/>
      <c r="CA78" s="198"/>
      <c r="CB78" s="198"/>
    </row>
    <row r="79" spans="1:216" s="92" customFormat="1" ht="18.75" customHeight="1">
      <c r="A79" s="92" t="s">
        <v>68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(BB68+BE68+BF68+BG68+222/7.45-96/7.45)/AVERAGE(BA78:BG78)</f>
        <v>8.0510405590156459E-2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  <c r="BQ79" s="101">
        <f>(BL68+BM68+BN68+BQ68+61)/AVERAGE(BK78:BQ78)</f>
        <v>9.9696781762238104E-2</v>
      </c>
      <c r="BR79" s="101">
        <f>(BM68+BN68+BQ68+BR68+17.6)/AVERAGE(BL78:BR78)</f>
        <v>9.2696463610516602E-2</v>
      </c>
      <c r="BS79" s="101"/>
      <c r="BT79" s="101"/>
      <c r="BU79" s="100"/>
    </row>
    <row r="80" spans="1:216" s="5" customFormat="1" ht="18.75" customHeight="1">
      <c r="A80" s="5" t="s">
        <v>70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/>
      <c r="BT80" s="29"/>
      <c r="BU80" s="95"/>
      <c r="HH80" s="27"/>
    </row>
    <row r="81" spans="1:216" s="5" customFormat="1" ht="18.75" customHeight="1" thickBot="1">
      <c r="A81" s="5" t="s">
        <v>151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BQ81" s="29">
        <f>(BL62+BM62+BN62+BQ62)/AVERAGE(BK72:BQ72)</f>
        <v>0.1253858024691358</v>
      </c>
      <c r="BR81" s="29">
        <f>(BM62+BN62+BQ62+BR62)/AVERAGE(BL72:BR72)</f>
        <v>0.12719056905949569</v>
      </c>
      <c r="BS81" s="29"/>
      <c r="BT81" s="29"/>
      <c r="BU81" s="95"/>
      <c r="HH81" s="27"/>
    </row>
    <row r="82" spans="1:216" s="79" customFormat="1" ht="3.95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4.1" customHeight="1">
      <c r="A83" s="221" t="s">
        <v>212</v>
      </c>
      <c r="AG83" s="7"/>
      <c r="AH83" s="7"/>
      <c r="AQ83" s="220"/>
      <c r="AT83" s="7"/>
      <c r="AW83" s="220"/>
      <c r="AZ83" s="7"/>
      <c r="BA83" s="7"/>
      <c r="BB83" s="220"/>
      <c r="BC83" s="220"/>
      <c r="BE83" s="7"/>
      <c r="BF83" s="7"/>
      <c r="BG83" s="7"/>
      <c r="BH83" s="220"/>
      <c r="BI83" s="220"/>
      <c r="BK83" s="7"/>
      <c r="BL83" s="7"/>
      <c r="BM83" s="7"/>
      <c r="BO83" s="220"/>
      <c r="BQ83" s="7"/>
      <c r="BR83" s="7"/>
      <c r="BS83" s="7"/>
      <c r="BU83" s="220"/>
    </row>
    <row r="84" spans="1:216" ht="6" customHeight="1">
      <c r="A84" s="222"/>
      <c r="AQ84" s="3"/>
    </row>
    <row r="85" spans="1:216" ht="23.1" customHeight="1">
      <c r="A85" s="223" t="s">
        <v>164</v>
      </c>
      <c r="AQ85" s="3"/>
      <c r="BK85" s="7"/>
      <c r="BL85" s="7"/>
      <c r="BQ85" s="7"/>
      <c r="BR85" s="7"/>
    </row>
    <row r="86" spans="1:216">
      <c r="AQ86" s="220"/>
      <c r="AW86" s="220"/>
      <c r="BB86" s="220"/>
      <c r="BC86" s="220"/>
      <c r="BH86" s="220"/>
      <c r="BI86" s="220"/>
      <c r="BK86" s="7"/>
      <c r="BO86" s="220"/>
      <c r="BQ86" s="7"/>
      <c r="BU86" s="220"/>
    </row>
  </sheetData>
  <mergeCells count="24"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AA1:AE1"/>
    <mergeCell ref="AA2:AE2"/>
    <mergeCell ref="AG1:AK1"/>
    <mergeCell ref="AG2:AK2"/>
    <mergeCell ref="AY1:BC1"/>
    <mergeCell ref="AY2:BC2"/>
    <mergeCell ref="BE1:BI1"/>
    <mergeCell ref="BE2:BI2"/>
    <mergeCell ref="AS1:AW1"/>
    <mergeCell ref="AS2:AW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AU4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BC59" sqref="BC59"/>
    </sheetView>
  </sheetViews>
  <sheetFormatPr defaultColWidth="9.140625" defaultRowHeight="12.75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16384" width="9.140625" style="2"/>
  </cols>
  <sheetData>
    <row r="1" spans="1:76">
      <c r="C1" s="230" t="s">
        <v>80</v>
      </c>
      <c r="D1" s="230"/>
      <c r="E1" s="230"/>
      <c r="F1" s="230"/>
      <c r="H1" s="230" t="s">
        <v>80</v>
      </c>
      <c r="I1" s="230"/>
      <c r="J1" s="230"/>
      <c r="K1" s="230"/>
      <c r="M1" s="230" t="s">
        <v>80</v>
      </c>
      <c r="N1" s="230"/>
      <c r="O1" s="230"/>
      <c r="P1" s="230"/>
      <c r="R1" s="230" t="s">
        <v>80</v>
      </c>
      <c r="S1" s="230"/>
      <c r="T1" s="230"/>
      <c r="U1" s="230"/>
      <c r="W1" s="230" t="s">
        <v>80</v>
      </c>
      <c r="X1" s="230"/>
      <c r="Y1" s="230"/>
      <c r="Z1" s="230"/>
      <c r="AB1" s="230" t="s">
        <v>80</v>
      </c>
      <c r="AC1" s="230"/>
      <c r="AD1" s="230"/>
      <c r="AE1" s="230"/>
      <c r="AG1" s="230" t="s">
        <v>80</v>
      </c>
      <c r="AH1" s="230"/>
      <c r="AI1" s="230"/>
      <c r="AJ1" s="230"/>
      <c r="AL1" s="230" t="s">
        <v>80</v>
      </c>
      <c r="AM1" s="230"/>
      <c r="AN1" s="230"/>
      <c r="AO1" s="230"/>
      <c r="AQ1" s="230" t="s">
        <v>80</v>
      </c>
      <c r="AR1" s="230"/>
      <c r="AS1" s="230"/>
      <c r="AT1" s="230"/>
      <c r="AV1" s="230" t="s">
        <v>80</v>
      </c>
      <c r="AW1" s="230"/>
      <c r="AX1" s="230"/>
      <c r="AY1" s="230"/>
      <c r="BA1" s="230" t="s">
        <v>80</v>
      </c>
      <c r="BB1" s="230"/>
      <c r="BC1" s="230"/>
      <c r="BD1" s="230"/>
      <c r="BF1" s="230" t="s">
        <v>80</v>
      </c>
      <c r="BG1" s="230"/>
      <c r="BH1" s="230"/>
      <c r="BI1" s="230"/>
    </row>
    <row r="2" spans="1:76">
      <c r="A2" s="1" t="s">
        <v>34</v>
      </c>
      <c r="C2" s="229">
        <v>2005</v>
      </c>
      <c r="D2" s="229"/>
      <c r="E2" s="229"/>
      <c r="F2" s="229"/>
      <c r="H2" s="229">
        <v>2006</v>
      </c>
      <c r="I2" s="229"/>
      <c r="J2" s="229"/>
      <c r="K2" s="229"/>
      <c r="M2" s="229">
        <v>2007</v>
      </c>
      <c r="N2" s="229"/>
      <c r="O2" s="229"/>
      <c r="P2" s="229"/>
      <c r="R2" s="229">
        <v>2008</v>
      </c>
      <c r="S2" s="229"/>
      <c r="T2" s="229"/>
      <c r="U2" s="229"/>
      <c r="W2" s="229">
        <v>2009</v>
      </c>
      <c r="X2" s="229"/>
      <c r="Y2" s="229"/>
      <c r="Z2" s="229"/>
      <c r="AB2" s="229">
        <v>2010</v>
      </c>
      <c r="AC2" s="229"/>
      <c r="AD2" s="229"/>
      <c r="AE2" s="229"/>
      <c r="AG2" s="229">
        <v>2011</v>
      </c>
      <c r="AH2" s="229"/>
      <c r="AI2" s="229"/>
      <c r="AJ2" s="229"/>
      <c r="AL2" s="229">
        <v>2012</v>
      </c>
      <c r="AM2" s="229"/>
      <c r="AN2" s="229"/>
      <c r="AO2" s="229"/>
      <c r="AQ2" s="229">
        <v>2013</v>
      </c>
      <c r="AR2" s="229"/>
      <c r="AS2" s="229"/>
      <c r="AT2" s="229"/>
      <c r="AV2" s="229">
        <v>2014</v>
      </c>
      <c r="AW2" s="229"/>
      <c r="AX2" s="229"/>
      <c r="AY2" s="229"/>
      <c r="BA2" s="229">
        <v>2015</v>
      </c>
      <c r="BB2" s="229"/>
      <c r="BC2" s="229"/>
      <c r="BD2" s="229"/>
      <c r="BF2" s="229">
        <v>2016</v>
      </c>
      <c r="BG2" s="229"/>
      <c r="BH2" s="229"/>
      <c r="BI2" s="229"/>
    </row>
    <row r="3" spans="1:76" s="59" customFormat="1" ht="13.5" thickBot="1">
      <c r="A3" s="57" t="s">
        <v>184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  <c r="BF3" s="58" t="s">
        <v>10</v>
      </c>
      <c r="BG3" s="58" t="s">
        <v>11</v>
      </c>
      <c r="BH3" s="58" t="s">
        <v>12</v>
      </c>
      <c r="BI3" s="58" t="s">
        <v>13</v>
      </c>
    </row>
    <row r="4" spans="1:76" ht="13.5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  <c r="BG4" s="72"/>
      <c r="BI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  <c r="BF5" s="7">
        <v>24356</v>
      </c>
      <c r="BG5" s="50">
        <v>24356</v>
      </c>
      <c r="BH5" s="7"/>
      <c r="BI5" s="50"/>
    </row>
    <row r="6" spans="1:76">
      <c r="A6" s="2" t="s">
        <v>39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  <c r="BF6" s="8">
        <v>176</v>
      </c>
      <c r="BG6" s="50">
        <v>589</v>
      </c>
      <c r="BH6" s="8"/>
      <c r="BI6" s="50"/>
    </row>
    <row r="7" spans="1:76" s="85" customFormat="1">
      <c r="A7" s="85" t="s">
        <v>40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  <c r="BF7" s="86">
        <f>BF5-BF6</f>
        <v>24180</v>
      </c>
      <c r="BG7" s="86">
        <f>BG5-BG6</f>
        <v>23767</v>
      </c>
      <c r="BH7" s="86"/>
      <c r="BI7" s="88"/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  <c r="BF8" s="91"/>
      <c r="BG8" s="104"/>
      <c r="BH8" s="91"/>
      <c r="BI8" s="104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50">
        <f>' Financial Highlights'!D46</f>
        <v>229</v>
      </c>
      <c r="E9" s="7">
        <f>' Financial Highlights'!E46</f>
        <v>262</v>
      </c>
      <c r="F9" s="50">
        <f>' Financial Highlights'!F46</f>
        <v>289</v>
      </c>
      <c r="G9" s="7"/>
      <c r="H9" s="7">
        <f>' Financial Highlights'!I46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  <c r="BF9" s="8">
        <v>378</v>
      </c>
      <c r="BG9" s="50">
        <v>337</v>
      </c>
      <c r="BH9" s="8"/>
      <c r="BI9" s="50"/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  <c r="BF10" s="8"/>
      <c r="BG10" s="50"/>
      <c r="BH10" s="8"/>
      <c r="BI10" s="50"/>
    </row>
    <row r="11" spans="1:76">
      <c r="A11" s="2" t="s">
        <v>178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126">
        <f>(BF7*BF9/1000)/7.45</f>
        <v>1226.8510067114096</v>
      </c>
      <c r="BG11" s="125">
        <f>(BG7*BG9/1000)/7.45</f>
        <v>1075.0978523489932</v>
      </c>
      <c r="BH11" s="126"/>
      <c r="BI11" s="125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179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126">
        <v>0.9</v>
      </c>
      <c r="BG12" s="125">
        <v>0</v>
      </c>
      <c r="BH12" s="126"/>
      <c r="BI12" s="125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180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126">
        <v>158.9</v>
      </c>
      <c r="BG13" s="125">
        <v>188.2</v>
      </c>
      <c r="BH13" s="126"/>
      <c r="BI13" s="125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>
      <c r="A14" s="85" t="s">
        <v>185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219">
        <f>SUM(BF11:BF13)</f>
        <v>1386.6510067114098</v>
      </c>
      <c r="BG14" s="219">
        <f>SUM(BG11:BG13)</f>
        <v>1263.2978523489933</v>
      </c>
      <c r="BH14" s="219"/>
      <c r="BI14" s="199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5"/>
      <c r="BG15" s="216"/>
      <c r="BH15" s="215"/>
      <c r="BI15" s="216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41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126">
        <f>+'Segment Data'!BQ38+'Segment Data'!BN38+'Segment Data'!BM38+'Segment Data'!BL38</f>
        <v>155.04663758389262</v>
      </c>
      <c r="BG16" s="125">
        <f>+'Segment Data'!BR38+'Segment Data'!BQ38+'Segment Data'!BN38+'Segment Data'!BM38</f>
        <v>151.21576510067115</v>
      </c>
      <c r="BH16" s="126"/>
      <c r="BI16" s="125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102" t="s">
        <v>108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126"/>
      <c r="BG17" s="125"/>
      <c r="BH17" s="126"/>
      <c r="BI17" s="125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165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126"/>
      <c r="BG18" s="125"/>
      <c r="BH18" s="126"/>
      <c r="BI18" s="125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42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126"/>
      <c r="BG19" s="125"/>
      <c r="BH19" s="126"/>
      <c r="BI19" s="125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43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126">
        <v>20.7</v>
      </c>
      <c r="BG20" s="125">
        <v>18.100000000000001</v>
      </c>
      <c r="BH20" s="126"/>
      <c r="BI20" s="125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166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126"/>
      <c r="BG21" s="125"/>
      <c r="BH21" s="126"/>
      <c r="BI21" s="125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156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126"/>
      <c r="BG22" s="125"/>
      <c r="BH22" s="126"/>
      <c r="BI22" s="125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>
      <c r="A23" s="85" t="s">
        <v>109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219">
        <f>SUM(BF16:BF22)</f>
        <v>175.74663758389261</v>
      </c>
      <c r="BG23" s="219">
        <f>SUM(BG16:BG22)</f>
        <v>169.31576510067114</v>
      </c>
      <c r="BH23" s="219"/>
      <c r="BI23" s="199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5"/>
      <c r="BG24" s="216"/>
      <c r="BH24" s="215"/>
      <c r="BI24" s="216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44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126">
        <f>BF23-BF26</f>
        <v>172.24126845637582</v>
      </c>
      <c r="BG25" s="125">
        <f>BG23-BG26</f>
        <v>165.03657046979865</v>
      </c>
      <c r="BH25" s="126"/>
      <c r="BI25" s="125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45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126">
        <f>+'Segment Data'!BQ22+'Segment Data'!BN22+'Segment Data'!BM22+'Segment Data'!BL22</f>
        <v>3.5053691275167784</v>
      </c>
      <c r="BG26" s="125">
        <f>+'Segment Data'!BR22+'Segment Data'!BQ22+'Segment Data'!BN22+'Segment Data'!BM22</f>
        <v>4.2791946308724835</v>
      </c>
      <c r="BH26" s="31"/>
      <c r="BI26" s="125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>
      <c r="A27" s="85" t="s">
        <v>109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219">
        <f>SUM(BF25:BF26)</f>
        <v>175.74663758389261</v>
      </c>
      <c r="BG27" s="199">
        <f>SUM(BG25:BG26)</f>
        <v>169.31576510067114</v>
      </c>
      <c r="BH27" s="219"/>
      <c r="BI27" s="199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5"/>
      <c r="BG28" s="216"/>
      <c r="BH28" s="215"/>
      <c r="BI28" s="216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  <c r="BF29" s="3"/>
      <c r="BG29" s="72"/>
      <c r="BH29" s="3"/>
      <c r="BI29" s="72"/>
    </row>
    <row r="30" spans="1:76">
      <c r="A30" s="5" t="s">
        <v>46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  <c r="BF30" s="3"/>
      <c r="BG30" s="72"/>
      <c r="BH30" s="3"/>
      <c r="BI30" s="72"/>
    </row>
    <row r="31" spans="1:76">
      <c r="A31" s="2" t="s">
        <v>167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  <c r="BF31" s="33">
        <f>BF14/BF27</f>
        <v>7.8900571059260942</v>
      </c>
      <c r="BG31" s="103">
        <f>BG14/BG27</f>
        <v>7.4611944823795131</v>
      </c>
      <c r="BH31" s="33"/>
      <c r="BI31" s="103"/>
    </row>
    <row r="32" spans="1:76">
      <c r="A32" s="2" t="s">
        <v>168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  <c r="BF32" s="33">
        <f>BF14/BF25</f>
        <v>8.0506316467508601</v>
      </c>
      <c r="BG32" s="103">
        <f>BG14/BG25</f>
        <v>7.6546540488138302</v>
      </c>
      <c r="BH32" s="33"/>
      <c r="BI32" s="103"/>
    </row>
    <row r="33" spans="1:61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  <c r="BF33" s="3"/>
      <c r="BG33" s="72"/>
      <c r="BH33" s="3"/>
      <c r="BI33" s="72"/>
    </row>
    <row r="34" spans="1:61">
      <c r="A34" s="5" t="s">
        <v>53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  <c r="BF34" s="3"/>
      <c r="BG34" s="72"/>
      <c r="BH34" s="3"/>
      <c r="BI34" s="72"/>
    </row>
    <row r="35" spans="1:61" ht="13.5" thickBot="1">
      <c r="A35" s="2" t="s">
        <v>107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  <c r="BF35" s="33">
        <f>BF13/BF23</f>
        <v>0.90414247569401796</v>
      </c>
      <c r="BG35" s="103">
        <f>BG13/BG23</f>
        <v>1.1115326436856057</v>
      </c>
      <c r="BH35" s="33"/>
      <c r="BI35" s="103"/>
    </row>
    <row r="36" spans="1:61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61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1">
      <c r="R39" s="34"/>
    </row>
    <row r="40" spans="1:61">
      <c r="R40" s="34"/>
    </row>
    <row r="42" spans="1:61">
      <c r="R42" s="35"/>
    </row>
    <row r="43" spans="1:61">
      <c r="R43" s="35"/>
    </row>
  </sheetData>
  <mergeCells count="24">
    <mergeCell ref="BF1:BI1"/>
    <mergeCell ref="BF2:BI2"/>
    <mergeCell ref="AB1:AE1"/>
    <mergeCell ref="AB2:AE2"/>
    <mergeCell ref="AQ1:AT1"/>
    <mergeCell ref="AQ2:AT2"/>
    <mergeCell ref="AG1:AJ1"/>
    <mergeCell ref="AG2:AJ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"/>
  <sheetViews>
    <sheetView showGridLines="0" zoomScaleNormal="100" zoomScaleSheetLayoutView="90" workbookViewId="0">
      <pane xSplit="1" ySplit="3" topLeftCell="AL4" activePane="bottomRight" state="frozen"/>
      <selection activeCell="D10" sqref="D10:K10"/>
      <selection pane="topRight" activeCell="D10" sqref="D10:K10"/>
      <selection pane="bottomLeft" activeCell="D10" sqref="D10:K10"/>
      <selection pane="bottomRight" activeCell="AZ57" sqref="AZ57"/>
    </sheetView>
  </sheetViews>
  <sheetFormatPr defaultColWidth="9.140625" defaultRowHeight="12.75"/>
  <cols>
    <col min="1" max="1" width="39" style="36" customWidth="1"/>
    <col min="2" max="5" width="8.7109375" style="36" customWidth="1"/>
    <col min="6" max="6" width="4.7109375" style="36" customWidth="1"/>
    <col min="7" max="10" width="8.7109375" style="36" customWidth="1"/>
    <col min="11" max="11" width="4.7109375" style="36" customWidth="1"/>
    <col min="12" max="15" width="8.7109375" style="36" customWidth="1"/>
    <col min="16" max="16" width="4.7109375" style="36" customWidth="1"/>
    <col min="17" max="20" width="8.7109375" style="36" customWidth="1"/>
    <col min="21" max="21" width="4.7109375" style="36" customWidth="1"/>
    <col min="22" max="25" width="8.7109375" style="36" customWidth="1"/>
    <col min="26" max="26" width="4.7109375" style="36" customWidth="1"/>
    <col min="27" max="30" width="8.7109375" style="36" customWidth="1"/>
    <col min="31" max="31" width="4.7109375" style="36" customWidth="1"/>
    <col min="32" max="35" width="8.7109375" style="36" customWidth="1"/>
    <col min="36" max="36" width="4.7109375" style="36" customWidth="1"/>
    <col min="37" max="40" width="8.7109375" style="36" customWidth="1"/>
    <col min="41" max="41" width="4.7109375" style="36" customWidth="1"/>
    <col min="42" max="45" width="8.7109375" style="36" customWidth="1"/>
    <col min="46" max="46" width="4.7109375" style="36" customWidth="1"/>
    <col min="47" max="50" width="8.7109375" style="36" customWidth="1"/>
    <col min="51" max="51" width="4.7109375" style="36" customWidth="1"/>
    <col min="52" max="55" width="8.7109375" style="36" customWidth="1"/>
    <col min="56" max="56" width="4.7109375" style="36" customWidth="1"/>
    <col min="57" max="60" width="8.7109375" style="36" customWidth="1"/>
    <col min="61" max="16384" width="9.140625" style="36"/>
  </cols>
  <sheetData>
    <row r="1" spans="1:60">
      <c r="B1" s="96" t="s">
        <v>80</v>
      </c>
    </row>
    <row r="2" spans="1:60" s="96" customFormat="1">
      <c r="B2" s="236">
        <v>2005</v>
      </c>
      <c r="C2" s="236"/>
      <c r="D2" s="236"/>
      <c r="E2" s="236"/>
      <c r="G2" s="236">
        <v>2006</v>
      </c>
      <c r="H2" s="236"/>
      <c r="I2" s="236"/>
      <c r="J2" s="236"/>
      <c r="L2" s="236">
        <v>2007</v>
      </c>
      <c r="M2" s="236"/>
      <c r="N2" s="236"/>
      <c r="O2" s="236"/>
      <c r="Q2" s="236">
        <v>2008</v>
      </c>
      <c r="R2" s="236"/>
      <c r="S2" s="236"/>
      <c r="T2" s="236"/>
      <c r="V2" s="236">
        <v>2009</v>
      </c>
      <c r="W2" s="236"/>
      <c r="X2" s="236"/>
      <c r="Y2" s="236"/>
      <c r="AA2" s="236">
        <v>2010</v>
      </c>
      <c r="AB2" s="236"/>
      <c r="AC2" s="236"/>
      <c r="AD2" s="236"/>
      <c r="AF2" s="236">
        <v>2011</v>
      </c>
      <c r="AG2" s="236"/>
      <c r="AH2" s="236"/>
      <c r="AI2" s="236"/>
      <c r="AK2" s="236">
        <v>2012</v>
      </c>
      <c r="AL2" s="236"/>
      <c r="AM2" s="236"/>
      <c r="AN2" s="236"/>
      <c r="AP2" s="236">
        <v>2013</v>
      </c>
      <c r="AQ2" s="236"/>
      <c r="AR2" s="236"/>
      <c r="AS2" s="236"/>
      <c r="AU2" s="236">
        <v>2014</v>
      </c>
      <c r="AV2" s="236"/>
      <c r="AW2" s="236"/>
      <c r="AX2" s="236"/>
      <c r="AZ2" s="236">
        <v>2015</v>
      </c>
      <c r="BA2" s="236"/>
      <c r="BB2" s="236"/>
      <c r="BC2" s="236"/>
      <c r="BE2" s="236">
        <v>2016</v>
      </c>
      <c r="BF2" s="236"/>
      <c r="BG2" s="236"/>
      <c r="BH2" s="236"/>
    </row>
    <row r="3" spans="1:60" s="113" customFormat="1" ht="13.5" thickBot="1">
      <c r="A3" s="111" t="s">
        <v>205</v>
      </c>
      <c r="B3" s="112" t="s">
        <v>55</v>
      </c>
      <c r="C3" s="112" t="s">
        <v>58</v>
      </c>
      <c r="D3" s="112" t="s">
        <v>59</v>
      </c>
      <c r="E3" s="112" t="s">
        <v>61</v>
      </c>
      <c r="F3" s="112"/>
      <c r="G3" s="112" t="s">
        <v>62</v>
      </c>
      <c r="H3" s="112" t="s">
        <v>56</v>
      </c>
      <c r="I3" s="112" t="s">
        <v>63</v>
      </c>
      <c r="J3" s="112" t="s">
        <v>60</v>
      </c>
      <c r="K3" s="112"/>
      <c r="L3" s="112" t="s">
        <v>64</v>
      </c>
      <c r="M3" s="112" t="s">
        <v>65</v>
      </c>
      <c r="N3" s="112" t="s">
        <v>57</v>
      </c>
      <c r="O3" s="112" t="s">
        <v>69</v>
      </c>
      <c r="P3" s="112"/>
      <c r="Q3" s="112" t="s">
        <v>71</v>
      </c>
      <c r="R3" s="112" t="s">
        <v>73</v>
      </c>
      <c r="S3" s="112" t="s">
        <v>75</v>
      </c>
      <c r="T3" s="112" t="s">
        <v>78</v>
      </c>
      <c r="U3" s="112"/>
      <c r="V3" s="112" t="s">
        <v>103</v>
      </c>
      <c r="W3" s="112" t="s">
        <v>104</v>
      </c>
      <c r="X3" s="112" t="s">
        <v>105</v>
      </c>
      <c r="Y3" s="112" t="s">
        <v>110</v>
      </c>
      <c r="Z3" s="112"/>
      <c r="AA3" s="112" t="s">
        <v>111</v>
      </c>
      <c r="AB3" s="112" t="s">
        <v>112</v>
      </c>
      <c r="AC3" s="112" t="s">
        <v>113</v>
      </c>
      <c r="AD3" s="112" t="s">
        <v>115</v>
      </c>
      <c r="AE3" s="112"/>
      <c r="AF3" s="112" t="s">
        <v>116</v>
      </c>
      <c r="AG3" s="112" t="s">
        <v>118</v>
      </c>
      <c r="AH3" s="112" t="s">
        <v>122</v>
      </c>
      <c r="AI3" s="112" t="s">
        <v>123</v>
      </c>
      <c r="AJ3" s="112"/>
      <c r="AK3" s="112" t="s">
        <v>125</v>
      </c>
      <c r="AL3" s="112" t="s">
        <v>126</v>
      </c>
      <c r="AM3" s="112" t="s">
        <v>127</v>
      </c>
      <c r="AN3" s="112" t="s">
        <v>128</v>
      </c>
      <c r="AP3" s="112" t="s">
        <v>134</v>
      </c>
      <c r="AQ3" s="112" t="s">
        <v>135</v>
      </c>
      <c r="AR3" s="112" t="s">
        <v>136</v>
      </c>
      <c r="AS3" s="112" t="s">
        <v>137</v>
      </c>
      <c r="AU3" s="112" t="s">
        <v>138</v>
      </c>
      <c r="AV3" s="112" t="s">
        <v>139</v>
      </c>
      <c r="AW3" s="112" t="s">
        <v>140</v>
      </c>
      <c r="AX3" s="112" t="s">
        <v>144</v>
      </c>
      <c r="AZ3" s="112" t="s">
        <v>152</v>
      </c>
      <c r="BA3" s="112" t="s">
        <v>173</v>
      </c>
      <c r="BB3" s="112" t="s">
        <v>174</v>
      </c>
      <c r="BC3" s="112" t="s">
        <v>204</v>
      </c>
      <c r="BE3" s="112" t="s">
        <v>219</v>
      </c>
      <c r="BF3" s="112" t="s">
        <v>224</v>
      </c>
      <c r="BG3" s="112"/>
      <c r="BH3" s="112"/>
    </row>
    <row r="4" spans="1:60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  <c r="BE4" s="109"/>
    </row>
    <row r="5" spans="1:60" s="105" customFormat="1" ht="12.95" customHeight="1">
      <c r="A5" s="105" t="s">
        <v>220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  <c r="BE5" s="106">
        <f>+BE11-BE12</f>
        <v>175.74663758389261</v>
      </c>
      <c r="BF5" s="106">
        <f>+BF11-BF12</f>
        <v>169.31576510067114</v>
      </c>
      <c r="BG5" s="106"/>
      <c r="BH5" s="106"/>
    </row>
    <row r="6" spans="1:60" ht="12.95" customHeight="1">
      <c r="A6" s="36" t="s">
        <v>169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/>
      <c r="BH6" s="38"/>
    </row>
    <row r="7" spans="1:60" ht="12.95" customHeight="1">
      <c r="A7" s="36" t="s">
        <v>170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/>
      <c r="BH7" s="38"/>
    </row>
    <row r="8" spans="1:60" ht="12.95" customHeight="1"/>
    <row r="9" spans="1:60" ht="12.95" customHeight="1"/>
    <row r="10" spans="1:60" ht="12.95" customHeight="1"/>
    <row r="11" spans="1:60" ht="12.95" customHeight="1">
      <c r="A11" s="36" t="s">
        <v>131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/>
      <c r="BH11" s="37"/>
    </row>
    <row r="12" spans="1:60" ht="12.95" customHeight="1">
      <c r="A12" s="36" t="s">
        <v>132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</row>
    <row r="13" spans="1:60" ht="12.95" customHeight="1">
      <c r="A13" s="36" t="s">
        <v>66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/>
      <c r="BH13" s="37"/>
    </row>
    <row r="14" spans="1:60" ht="12.95" customHeight="1" thickBot="1">
      <c r="A14" s="36" t="s">
        <v>74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  <c r="BE14" s="37">
        <f>+'Segment Data'!BQ16+'Segment Data'!BN16+'Segment Data'!BM16+'Segment Data'!BL16</f>
        <v>1828.6543624161072</v>
      </c>
      <c r="BF14" s="37">
        <f>+'Segment Data'!BR16+'Segment Data'!BQ16+'Segment Data'!BN16+'Segment Data'!BM16</f>
        <v>1819.6577181208054</v>
      </c>
      <c r="BG14" s="37"/>
      <c r="BH14" s="37"/>
    </row>
    <row r="15" spans="1:60" s="84" customFormat="1"/>
    <row r="16" spans="1:60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2"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jellebo</cp:lastModifiedBy>
  <cp:lastPrinted>2016-08-01T13:27:00Z</cp:lastPrinted>
  <dcterms:created xsi:type="dcterms:W3CDTF">2003-02-28T10:07:39Z</dcterms:created>
  <dcterms:modified xsi:type="dcterms:W3CDTF">2016-08-17T08:53:49Z</dcterms:modified>
</cp:coreProperties>
</file>